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5.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6.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filterPrivacy="1"/>
  <xr:revisionPtr revIDLastSave="0" documentId="13_ncr:1_{001CBAD4-195A-4CF2-B757-434F754CB412}" xr6:coauthVersionLast="46" xr6:coauthVersionMax="46" xr10:uidLastSave="{00000000-0000-0000-0000-000000000000}"/>
  <bookViews>
    <workbookView xWindow="-108" yWindow="-108" windowWidth="23256" windowHeight="12576" activeTab="6" xr2:uid="{00000000-000D-0000-FFFF-FFFF00000000}"/>
  </bookViews>
  <sheets>
    <sheet name="F&amp;C" sheetId="1" r:id="rId1"/>
    <sheet name="Sample 1" sheetId="2" r:id="rId2"/>
    <sheet name="Sample 2" sheetId="3" r:id="rId3"/>
    <sheet name="Sampe 3" sheetId="4" r:id="rId4"/>
    <sheet name="Average" sheetId="7" r:id="rId5"/>
    <sheet name="Average cum mass" sheetId="8" r:id="rId6"/>
    <sheet name="GS simulation" sheetId="9" r:id="rId7"/>
    <sheet name="mass balance" sheetId="11"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2" i="3" l="1"/>
  <c r="F10" i="7"/>
  <c r="E10" i="7"/>
  <c r="E16" i="7" l="1"/>
  <c r="E17" i="7"/>
  <c r="C17" i="7"/>
  <c r="H17" i="7"/>
  <c r="G17" i="7"/>
  <c r="F17" i="7"/>
  <c r="D17" i="7"/>
  <c r="B17" i="7"/>
  <c r="H16" i="7"/>
  <c r="G16" i="7"/>
  <c r="F16" i="7"/>
  <c r="D16" i="7"/>
  <c r="B16" i="7"/>
  <c r="C16" i="7" l="1"/>
  <c r="S4" i="4"/>
  <c r="S4" i="3"/>
  <c r="S4" i="2"/>
  <c r="O33" i="9"/>
  <c r="I9" i="11" l="1"/>
  <c r="E10" i="11"/>
  <c r="E11" i="11"/>
  <c r="H11" i="11" s="1"/>
  <c r="K11" i="11" s="1"/>
  <c r="H10" i="11"/>
  <c r="K10" i="11" s="1"/>
  <c r="E9" i="11"/>
  <c r="H9" i="11" s="1"/>
  <c r="K9" i="11" s="1"/>
  <c r="F11" i="11"/>
  <c r="I11" i="11" s="1"/>
  <c r="F9" i="11"/>
  <c r="D10" i="11"/>
  <c r="G10" i="11" s="1"/>
  <c r="J10" i="11" s="1"/>
  <c r="D11" i="11"/>
  <c r="G11" i="11" s="1"/>
  <c r="J11" i="11" s="1"/>
  <c r="D9" i="11"/>
  <c r="G9" i="11" s="1"/>
  <c r="J9" i="11" s="1"/>
  <c r="C10" i="11"/>
  <c r="F10" i="11" s="1"/>
  <c r="I10" i="11" s="1"/>
  <c r="C11" i="11"/>
  <c r="C9" i="11"/>
  <c r="Y34" i="9" l="1"/>
  <c r="Y35" i="9"/>
  <c r="Y36" i="9"/>
  <c r="Y37" i="9"/>
  <c r="Y38" i="9"/>
  <c r="Y39" i="9"/>
  <c r="Y40" i="9"/>
  <c r="Y41" i="9"/>
  <c r="Y42" i="9"/>
  <c r="Y43" i="9"/>
  <c r="Y44" i="9"/>
  <c r="Y45" i="9"/>
  <c r="Y46" i="9"/>
  <c r="Y47" i="9"/>
  <c r="Y48" i="9"/>
  <c r="Y33" i="9"/>
  <c r="Q33" i="9"/>
  <c r="P33" i="9"/>
  <c r="V33" i="9" s="1"/>
  <c r="S33" i="9"/>
  <c r="N3" i="9"/>
  <c r="C2" i="9"/>
  <c r="G3" i="9"/>
  <c r="L35" i="9" s="1"/>
  <c r="L16" i="9"/>
  <c r="N8" i="9"/>
  <c r="R8" i="9"/>
  <c r="S8" i="9" s="1"/>
  <c r="P8" i="9"/>
  <c r="F34" i="9"/>
  <c r="D34" i="9"/>
  <c r="B34" i="9"/>
  <c r="F8" i="9"/>
  <c r="F9" i="9" s="1"/>
  <c r="F10" i="9" s="1"/>
  <c r="D8" i="9"/>
  <c r="E8" i="9" s="1"/>
  <c r="B8" i="9"/>
  <c r="B11" i="9" s="1"/>
  <c r="R9" i="9" l="1"/>
  <c r="R10" i="9" s="1"/>
  <c r="R11" i="9" s="1"/>
  <c r="L41" i="9"/>
  <c r="X19" i="9"/>
  <c r="X20" i="9"/>
  <c r="X9" i="9"/>
  <c r="X21" i="9"/>
  <c r="X10" i="9"/>
  <c r="X22" i="9"/>
  <c r="X11" i="9"/>
  <c r="X23" i="9"/>
  <c r="X18" i="9"/>
  <c r="X12" i="9"/>
  <c r="X8" i="9"/>
  <c r="X14" i="9"/>
  <c r="X13" i="9"/>
  <c r="X15" i="9"/>
  <c r="X17" i="9"/>
  <c r="X16" i="9"/>
  <c r="W8" i="9"/>
  <c r="B12" i="9"/>
  <c r="C12" i="9" s="1"/>
  <c r="I12" i="9" s="1"/>
  <c r="L36" i="9"/>
  <c r="L48" i="9"/>
  <c r="L34" i="9"/>
  <c r="L37" i="9"/>
  <c r="L49" i="9"/>
  <c r="L38" i="9"/>
  <c r="L39" i="9"/>
  <c r="L40" i="9"/>
  <c r="L42" i="9"/>
  <c r="L43" i="9"/>
  <c r="L44" i="9"/>
  <c r="R12" i="9"/>
  <c r="S11" i="9"/>
  <c r="W11" i="9" s="1"/>
  <c r="R33" i="9"/>
  <c r="W33" i="9" s="1"/>
  <c r="G34" i="9"/>
  <c r="K34" i="9" s="1"/>
  <c r="F35" i="9"/>
  <c r="F36" i="9" s="1"/>
  <c r="F37" i="9" s="1"/>
  <c r="G37" i="9" s="1"/>
  <c r="K37" i="9" s="1"/>
  <c r="L46" i="9"/>
  <c r="X33" i="9"/>
  <c r="T33" i="9"/>
  <c r="L47" i="9"/>
  <c r="O8" i="9"/>
  <c r="U8" i="9" s="1"/>
  <c r="N9" i="9"/>
  <c r="L45" i="9"/>
  <c r="P9" i="9"/>
  <c r="P10" i="9" s="1"/>
  <c r="S10" i="9"/>
  <c r="W10" i="9" s="1"/>
  <c r="Q8" i="9"/>
  <c r="V8" i="9" s="1"/>
  <c r="S9" i="9"/>
  <c r="W9" i="9" s="1"/>
  <c r="Q9" i="9"/>
  <c r="V9" i="9" s="1"/>
  <c r="L14" i="9"/>
  <c r="L13" i="9"/>
  <c r="L15" i="9"/>
  <c r="L8" i="9"/>
  <c r="L23" i="9"/>
  <c r="L11" i="9"/>
  <c r="L22" i="9"/>
  <c r="L10" i="9"/>
  <c r="L21" i="9"/>
  <c r="L9" i="9"/>
  <c r="L20" i="9"/>
  <c r="J8" i="9"/>
  <c r="L19" i="9"/>
  <c r="L12" i="9"/>
  <c r="L18" i="9"/>
  <c r="L17" i="9"/>
  <c r="G10" i="9"/>
  <c r="K10" i="9" s="1"/>
  <c r="D35" i="9"/>
  <c r="D36" i="9" s="1"/>
  <c r="D37" i="9" s="1"/>
  <c r="D38" i="9" s="1"/>
  <c r="D39" i="9" s="1"/>
  <c r="E34" i="9"/>
  <c r="J34" i="9" s="1"/>
  <c r="F11" i="9"/>
  <c r="G11" i="9" s="1"/>
  <c r="K11" i="9" s="1"/>
  <c r="G8" i="9"/>
  <c r="K8" i="9" s="1"/>
  <c r="G9" i="9"/>
  <c r="K9" i="9" s="1"/>
  <c r="C34" i="9"/>
  <c r="I34" i="9" s="1"/>
  <c r="B35" i="9"/>
  <c r="B36" i="9" s="1"/>
  <c r="D9" i="9"/>
  <c r="B9" i="9"/>
  <c r="O34" i="9" s="1"/>
  <c r="B10" i="9"/>
  <c r="C8" i="9"/>
  <c r="I8" i="9" s="1"/>
  <c r="C11" i="9"/>
  <c r="I11" i="9" s="1"/>
  <c r="K5" i="1"/>
  <c r="K6" i="1"/>
  <c r="K4" i="1"/>
  <c r="J5" i="1"/>
  <c r="J6" i="1"/>
  <c r="J4" i="1"/>
  <c r="F5" i="1"/>
  <c r="H5" i="1" s="1"/>
  <c r="I5" i="1" s="1"/>
  <c r="F6" i="1"/>
  <c r="H6" i="1" s="1"/>
  <c r="I6" i="1" s="1"/>
  <c r="F4" i="1"/>
  <c r="H4" i="1" s="1"/>
  <c r="I4" i="1" s="1"/>
  <c r="B13" i="9" l="1"/>
  <c r="B14" i="9" s="1"/>
  <c r="C9" i="9"/>
  <c r="I9" i="9" s="1"/>
  <c r="P34" i="9"/>
  <c r="V34" i="9" s="1"/>
  <c r="F12" i="9"/>
  <c r="S36" i="9"/>
  <c r="T36" i="9" s="1"/>
  <c r="X36" i="9" s="1"/>
  <c r="N10" i="9"/>
  <c r="O9" i="9"/>
  <c r="U9" i="9" s="1"/>
  <c r="G35" i="9"/>
  <c r="K35" i="9" s="1"/>
  <c r="S34" i="9"/>
  <c r="T34" i="9" s="1"/>
  <c r="X34" i="9" s="1"/>
  <c r="C10" i="9"/>
  <c r="I10" i="9" s="1"/>
  <c r="O35" i="9"/>
  <c r="P35" i="9" s="1"/>
  <c r="V35" i="9" s="1"/>
  <c r="C35" i="9"/>
  <c r="I35" i="9" s="1"/>
  <c r="S35" i="9"/>
  <c r="T35" i="9" s="1"/>
  <c r="X35" i="9" s="1"/>
  <c r="R13" i="9"/>
  <c r="S12" i="9"/>
  <c r="W12" i="9" s="1"/>
  <c r="Q34" i="9"/>
  <c r="R34" i="9" s="1"/>
  <c r="W34" i="9" s="1"/>
  <c r="P11" i="9"/>
  <c r="Q10" i="9"/>
  <c r="V10" i="9" s="1"/>
  <c r="E38" i="9"/>
  <c r="J38" i="9" s="1"/>
  <c r="E36" i="9"/>
  <c r="J36" i="9" s="1"/>
  <c r="E37" i="9"/>
  <c r="J37" i="9" s="1"/>
  <c r="E35" i="9"/>
  <c r="J35" i="9" s="1"/>
  <c r="B37" i="9"/>
  <c r="C36" i="9"/>
  <c r="I36" i="9" s="1"/>
  <c r="F38" i="9"/>
  <c r="F39" i="9" s="1"/>
  <c r="G36" i="9"/>
  <c r="K36" i="9" s="1"/>
  <c r="G12" i="9"/>
  <c r="K12" i="9" s="1"/>
  <c r="D40" i="9"/>
  <c r="E39" i="9"/>
  <c r="J39" i="9" s="1"/>
  <c r="D10" i="9"/>
  <c r="Q35" i="9" s="1"/>
  <c r="R35" i="9" s="1"/>
  <c r="W35" i="9" s="1"/>
  <c r="E9" i="9"/>
  <c r="J9" i="9" s="1"/>
  <c r="C13" i="9"/>
  <c r="I13" i="9" s="1"/>
  <c r="C9" i="7"/>
  <c r="D9" i="7"/>
  <c r="E9" i="7"/>
  <c r="F9" i="7"/>
  <c r="G9" i="7"/>
  <c r="H9" i="7"/>
  <c r="C8" i="7"/>
  <c r="D8" i="7"/>
  <c r="E8" i="7"/>
  <c r="F8" i="7"/>
  <c r="G8" i="7"/>
  <c r="H8" i="7"/>
  <c r="D31" i="7"/>
  <c r="C31" i="7"/>
  <c r="B31" i="7"/>
  <c r="D30" i="7"/>
  <c r="C30" i="7"/>
  <c r="B30" i="7"/>
  <c r="D24" i="7"/>
  <c r="C24" i="7"/>
  <c r="B24" i="7"/>
  <c r="D23" i="7"/>
  <c r="C23" i="7"/>
  <c r="B23" i="7"/>
  <c r="B9" i="7"/>
  <c r="B8" i="7"/>
  <c r="P12" i="9" l="1"/>
  <c r="Q11" i="9"/>
  <c r="V11" i="9" s="1"/>
  <c r="N11" i="9"/>
  <c r="O10" i="9"/>
  <c r="U10" i="9" s="1"/>
  <c r="G38" i="9"/>
  <c r="K38" i="9" s="1"/>
  <c r="R14" i="9"/>
  <c r="S13" i="9"/>
  <c r="W13" i="9" s="1"/>
  <c r="F13" i="9"/>
  <c r="S37" i="9"/>
  <c r="T37" i="9" s="1"/>
  <c r="X37" i="9" s="1"/>
  <c r="B15" i="9"/>
  <c r="C15" i="9" s="1"/>
  <c r="I15" i="9" s="1"/>
  <c r="D41" i="9"/>
  <c r="E40" i="9"/>
  <c r="J40" i="9" s="1"/>
  <c r="B38" i="9"/>
  <c r="C37" i="9"/>
  <c r="I37" i="9" s="1"/>
  <c r="G39" i="9"/>
  <c r="K39" i="9" s="1"/>
  <c r="F40" i="9"/>
  <c r="D11" i="9"/>
  <c r="Q36" i="9" s="1"/>
  <c r="R36" i="9" s="1"/>
  <c r="W36" i="9" s="1"/>
  <c r="E10" i="9"/>
  <c r="J10" i="9" s="1"/>
  <c r="C14" i="9"/>
  <c r="I14" i="9" s="1"/>
  <c r="L19" i="4"/>
  <c r="K16" i="4"/>
  <c r="K17" i="4"/>
  <c r="K18" i="4"/>
  <c r="I16" i="4"/>
  <c r="L16" i="4" s="1"/>
  <c r="I17" i="4"/>
  <c r="L17" i="4" s="1"/>
  <c r="I18" i="4"/>
  <c r="L18" i="4" s="1"/>
  <c r="I19" i="4"/>
  <c r="I15" i="4"/>
  <c r="L15" i="4" s="1"/>
  <c r="H16" i="4"/>
  <c r="H17" i="4"/>
  <c r="H18" i="4"/>
  <c r="H19" i="4"/>
  <c r="K19" i="4" s="1"/>
  <c r="H15" i="4"/>
  <c r="K15" i="4" s="1"/>
  <c r="G16" i="4"/>
  <c r="J16" i="4" s="1"/>
  <c r="G17" i="4"/>
  <c r="J17" i="4" s="1"/>
  <c r="G18" i="4"/>
  <c r="J18" i="4" s="1"/>
  <c r="G19" i="4"/>
  <c r="J19" i="4" s="1"/>
  <c r="G15" i="4"/>
  <c r="J15" i="4" s="1"/>
  <c r="J15" i="3"/>
  <c r="I16" i="3"/>
  <c r="L16" i="3" s="1"/>
  <c r="I17" i="3"/>
  <c r="L17" i="3" s="1"/>
  <c r="I18" i="3"/>
  <c r="L18" i="3" s="1"/>
  <c r="I19" i="3"/>
  <c r="L19" i="3" s="1"/>
  <c r="I15" i="3"/>
  <c r="L15" i="3" s="1"/>
  <c r="H16" i="3"/>
  <c r="K16" i="3" s="1"/>
  <c r="H17" i="3"/>
  <c r="K17" i="3" s="1"/>
  <c r="H18" i="3"/>
  <c r="K18" i="3" s="1"/>
  <c r="H19" i="3"/>
  <c r="K19" i="3" s="1"/>
  <c r="H15" i="3"/>
  <c r="K15" i="3" s="1"/>
  <c r="G15" i="3"/>
  <c r="G16" i="3"/>
  <c r="J16" i="3" s="1"/>
  <c r="G17" i="3"/>
  <c r="J17" i="3" s="1"/>
  <c r="G18" i="3"/>
  <c r="J18" i="3" s="1"/>
  <c r="G19" i="3"/>
  <c r="J19" i="3" s="1"/>
  <c r="L15" i="2"/>
  <c r="L16" i="2"/>
  <c r="L17" i="2"/>
  <c r="J15" i="2"/>
  <c r="J17" i="2"/>
  <c r="J18" i="2"/>
  <c r="I15" i="2"/>
  <c r="I16" i="2"/>
  <c r="I17" i="2"/>
  <c r="I18" i="2"/>
  <c r="L18" i="2" s="1"/>
  <c r="I19" i="2"/>
  <c r="L19" i="2" s="1"/>
  <c r="H15" i="2"/>
  <c r="K15" i="2" s="1"/>
  <c r="H16" i="2"/>
  <c r="K16" i="2" s="1"/>
  <c r="H17" i="2"/>
  <c r="K17" i="2" s="1"/>
  <c r="H18" i="2"/>
  <c r="K18" i="2" s="1"/>
  <c r="H19" i="2"/>
  <c r="K19" i="2" s="1"/>
  <c r="G16" i="2"/>
  <c r="J16" i="2" s="1"/>
  <c r="G17" i="2"/>
  <c r="G18" i="2"/>
  <c r="G19" i="2"/>
  <c r="J19" i="2" s="1"/>
  <c r="G15" i="2"/>
  <c r="S38" i="9" l="1"/>
  <c r="T38" i="9" s="1"/>
  <c r="X38" i="9" s="1"/>
  <c r="G13" i="9"/>
  <c r="K13" i="9" s="1"/>
  <c r="F14" i="9"/>
  <c r="P13" i="9"/>
  <c r="Q12" i="9"/>
  <c r="V12" i="9" s="1"/>
  <c r="R15" i="9"/>
  <c r="S14" i="9"/>
  <c r="W14" i="9" s="1"/>
  <c r="B16" i="9"/>
  <c r="C16" i="9" s="1"/>
  <c r="I16" i="9" s="1"/>
  <c r="O11" i="9"/>
  <c r="U11" i="9" s="1"/>
  <c r="N12" i="9"/>
  <c r="O36" i="9"/>
  <c r="P36" i="9" s="1"/>
  <c r="V36" i="9" s="1"/>
  <c r="D42" i="9"/>
  <c r="E41" i="9"/>
  <c r="J41" i="9" s="1"/>
  <c r="B39" i="9"/>
  <c r="C38" i="9"/>
  <c r="I38" i="9" s="1"/>
  <c r="G40" i="9"/>
  <c r="K40" i="9" s="1"/>
  <c r="F41" i="9"/>
  <c r="D12" i="9"/>
  <c r="Q37" i="9" s="1"/>
  <c r="R37" i="9" s="1"/>
  <c r="W37" i="9" s="1"/>
  <c r="E11" i="9"/>
  <c r="J11" i="9" s="1"/>
  <c r="C21" i="4"/>
  <c r="G14" i="9" l="1"/>
  <c r="K14" i="9" s="1"/>
  <c r="S39" i="9"/>
  <c r="T39" i="9" s="1"/>
  <c r="X39" i="9" s="1"/>
  <c r="F15" i="9"/>
  <c r="B17" i="9"/>
  <c r="O12" i="9"/>
  <c r="U12" i="9" s="1"/>
  <c r="N13" i="9"/>
  <c r="O37" i="9"/>
  <c r="P37" i="9" s="1"/>
  <c r="V37" i="9" s="1"/>
  <c r="R16" i="9"/>
  <c r="S15" i="9"/>
  <c r="W15" i="9" s="1"/>
  <c r="P14" i="9"/>
  <c r="Q13" i="9"/>
  <c r="V13" i="9" s="1"/>
  <c r="B40" i="9"/>
  <c r="C39" i="9"/>
  <c r="I39" i="9" s="1"/>
  <c r="D43" i="9"/>
  <c r="E42" i="9"/>
  <c r="J42" i="9" s="1"/>
  <c r="F42" i="9"/>
  <c r="G41" i="9"/>
  <c r="K41" i="9" s="1"/>
  <c r="D13" i="9"/>
  <c r="E12" i="9"/>
  <c r="J12" i="9" s="1"/>
  <c r="D5" i="1"/>
  <c r="D6" i="1"/>
  <c r="D14" i="9" l="1"/>
  <c r="Q38" i="9"/>
  <c r="R38" i="9" s="1"/>
  <c r="W38" i="9" s="1"/>
  <c r="O13" i="9"/>
  <c r="U13" i="9" s="1"/>
  <c r="O38" i="9"/>
  <c r="P38" i="9" s="1"/>
  <c r="V38" i="9" s="1"/>
  <c r="N14" i="9"/>
  <c r="P15" i="9"/>
  <c r="Q14" i="9"/>
  <c r="V14" i="9" s="1"/>
  <c r="R17" i="9"/>
  <c r="S16" i="9"/>
  <c r="W16" i="9" s="1"/>
  <c r="B18" i="9"/>
  <c r="C17" i="9"/>
  <c r="I17" i="9" s="1"/>
  <c r="S40" i="9"/>
  <c r="T40" i="9" s="1"/>
  <c r="X40" i="9" s="1"/>
  <c r="F16" i="9"/>
  <c r="G15" i="9"/>
  <c r="K15" i="9" s="1"/>
  <c r="B41" i="9"/>
  <c r="C40" i="9"/>
  <c r="I40" i="9" s="1"/>
  <c r="D44" i="9"/>
  <c r="E43" i="9"/>
  <c r="J43" i="9" s="1"/>
  <c r="G42" i="9"/>
  <c r="K42" i="9" s="1"/>
  <c r="F43" i="9"/>
  <c r="E13" i="9"/>
  <c r="J13" i="9" s="1"/>
  <c r="E14" i="9" l="1"/>
  <c r="J14" i="9" s="1"/>
  <c r="Q39" i="9"/>
  <c r="R39" i="9" s="1"/>
  <c r="W39" i="9" s="1"/>
  <c r="G16" i="9"/>
  <c r="K16" i="9" s="1"/>
  <c r="S41" i="9"/>
  <c r="T41" i="9" s="1"/>
  <c r="X41" i="9" s="1"/>
  <c r="F17" i="9"/>
  <c r="P16" i="9"/>
  <c r="Q15" i="9"/>
  <c r="V15" i="9" s="1"/>
  <c r="B19" i="9"/>
  <c r="C18" i="9"/>
  <c r="I18" i="9" s="1"/>
  <c r="R18" i="9"/>
  <c r="S17" i="9"/>
  <c r="W17" i="9" s="1"/>
  <c r="O14" i="9"/>
  <c r="U14" i="9" s="1"/>
  <c r="O39" i="9"/>
  <c r="P39" i="9" s="1"/>
  <c r="V39" i="9" s="1"/>
  <c r="N15" i="9"/>
  <c r="G43" i="9"/>
  <c r="K43" i="9" s="1"/>
  <c r="F44" i="9"/>
  <c r="D45" i="9"/>
  <c r="E44" i="9"/>
  <c r="J44" i="9" s="1"/>
  <c r="B42" i="9"/>
  <c r="C41" i="9"/>
  <c r="I41" i="9" s="1"/>
  <c r="D15" i="9"/>
  <c r="Q40" i="9" s="1"/>
  <c r="R40" i="9" s="1"/>
  <c r="W40" i="9" s="1"/>
  <c r="H25" i="4"/>
  <c r="J25" i="4"/>
  <c r="I25" i="4"/>
  <c r="K24" i="4"/>
  <c r="I6" i="4"/>
  <c r="I7" i="4"/>
  <c r="I8" i="4"/>
  <c r="I9" i="4"/>
  <c r="I10" i="4"/>
  <c r="I11" i="4"/>
  <c r="I12" i="4"/>
  <c r="I13" i="4"/>
  <c r="I14" i="4"/>
  <c r="I5" i="4"/>
  <c r="H6" i="4"/>
  <c r="H7" i="4"/>
  <c r="H8" i="4"/>
  <c r="H9" i="4"/>
  <c r="H10" i="4"/>
  <c r="H11" i="4"/>
  <c r="H12" i="4"/>
  <c r="H13" i="4"/>
  <c r="H14" i="4"/>
  <c r="H5" i="4"/>
  <c r="G6" i="4"/>
  <c r="G7" i="4"/>
  <c r="G8" i="4"/>
  <c r="G9" i="4"/>
  <c r="G10" i="4"/>
  <c r="G11" i="4"/>
  <c r="G12" i="4"/>
  <c r="G13" i="4"/>
  <c r="G14" i="4"/>
  <c r="G5" i="4"/>
  <c r="Q4" i="4" l="1"/>
  <c r="P4" i="4"/>
  <c r="R4" i="4"/>
  <c r="C19" i="9"/>
  <c r="I19" i="9" s="1"/>
  <c r="B20" i="9"/>
  <c r="R19" i="9"/>
  <c r="S18" i="9"/>
  <c r="W18" i="9" s="1"/>
  <c r="P17" i="9"/>
  <c r="Q16" i="9"/>
  <c r="V16" i="9" s="1"/>
  <c r="S42" i="9"/>
  <c r="T42" i="9" s="1"/>
  <c r="X42" i="9" s="1"/>
  <c r="G17" i="9"/>
  <c r="K17" i="9" s="1"/>
  <c r="F18" i="9"/>
  <c r="O15" i="9"/>
  <c r="U15" i="9" s="1"/>
  <c r="O40" i="9"/>
  <c r="P40" i="9" s="1"/>
  <c r="V40" i="9" s="1"/>
  <c r="N16" i="9"/>
  <c r="D46" i="9"/>
  <c r="E45" i="9"/>
  <c r="J45" i="9" s="1"/>
  <c r="B43" i="9"/>
  <c r="C42" i="9"/>
  <c r="I42" i="9" s="1"/>
  <c r="F45" i="9"/>
  <c r="F46" i="9" s="1"/>
  <c r="G44" i="9"/>
  <c r="K44" i="9" s="1"/>
  <c r="D16" i="9"/>
  <c r="Q41" i="9" s="1"/>
  <c r="R41" i="9" s="1"/>
  <c r="W41" i="9" s="1"/>
  <c r="E15" i="9"/>
  <c r="J15" i="9" s="1"/>
  <c r="K25" i="4"/>
  <c r="K10" i="3"/>
  <c r="I6" i="3"/>
  <c r="L6" i="3" s="1"/>
  <c r="I7" i="3"/>
  <c r="L7" i="3" s="1"/>
  <c r="I8" i="3"/>
  <c r="L8" i="3" s="1"/>
  <c r="I9" i="3"/>
  <c r="L9" i="3" s="1"/>
  <c r="I10" i="3"/>
  <c r="L10" i="3" s="1"/>
  <c r="I11" i="3"/>
  <c r="L11" i="3" s="1"/>
  <c r="I12" i="3"/>
  <c r="L12" i="3" s="1"/>
  <c r="I13" i="3"/>
  <c r="L13" i="3" s="1"/>
  <c r="I14" i="3"/>
  <c r="L14" i="3" s="1"/>
  <c r="H6" i="3"/>
  <c r="K6" i="3" s="1"/>
  <c r="H7" i="3"/>
  <c r="K7" i="3" s="1"/>
  <c r="H8" i="3"/>
  <c r="K8" i="3" s="1"/>
  <c r="H9" i="3"/>
  <c r="K9" i="3" s="1"/>
  <c r="H10" i="3"/>
  <c r="H11" i="3"/>
  <c r="K11" i="3" s="1"/>
  <c r="H12" i="3"/>
  <c r="K12" i="3" s="1"/>
  <c r="H13" i="3"/>
  <c r="K13" i="3" s="1"/>
  <c r="H14" i="3"/>
  <c r="K14" i="3" s="1"/>
  <c r="G6" i="3"/>
  <c r="J6" i="3" s="1"/>
  <c r="G7" i="3"/>
  <c r="J7" i="3" s="1"/>
  <c r="G8" i="3"/>
  <c r="J8" i="3" s="1"/>
  <c r="G9" i="3"/>
  <c r="J9" i="3" s="1"/>
  <c r="G10" i="3"/>
  <c r="J10" i="3" s="1"/>
  <c r="G11" i="3"/>
  <c r="J11" i="3" s="1"/>
  <c r="G12" i="3"/>
  <c r="J12" i="3" s="1"/>
  <c r="G13" i="3"/>
  <c r="J13" i="3" s="1"/>
  <c r="G14" i="3"/>
  <c r="J14" i="3" s="1"/>
  <c r="I5" i="3"/>
  <c r="L5" i="3" s="1"/>
  <c r="H5" i="3"/>
  <c r="K5" i="3" s="1"/>
  <c r="G5" i="3"/>
  <c r="J5" i="3" s="1"/>
  <c r="G26" i="3"/>
  <c r="I26" i="3"/>
  <c r="H26" i="3"/>
  <c r="J25" i="3"/>
  <c r="O17" i="3" l="1"/>
  <c r="R17" i="3" s="1"/>
  <c r="O18" i="3"/>
  <c r="R18" i="3" s="1"/>
  <c r="O19" i="3"/>
  <c r="O15" i="3"/>
  <c r="R15" i="3" s="1"/>
  <c r="O16" i="3"/>
  <c r="R16" i="3" s="1"/>
  <c r="N15" i="3"/>
  <c r="Q15" i="3" s="1"/>
  <c r="N17" i="3"/>
  <c r="Q17" i="3" s="1"/>
  <c r="N19" i="3"/>
  <c r="N18" i="3"/>
  <c r="Q18" i="3" s="1"/>
  <c r="N16" i="3"/>
  <c r="Q16" i="3" s="1"/>
  <c r="P4" i="3"/>
  <c r="M19" i="3"/>
  <c r="M18" i="3"/>
  <c r="M15" i="3"/>
  <c r="M16" i="3"/>
  <c r="M17" i="3"/>
  <c r="Q4" i="3"/>
  <c r="R4" i="3"/>
  <c r="S43" i="9"/>
  <c r="T43" i="9" s="1"/>
  <c r="X43" i="9" s="1"/>
  <c r="F19" i="9"/>
  <c r="G18" i="9"/>
  <c r="K18" i="9" s="1"/>
  <c r="S19" i="9"/>
  <c r="W19" i="9" s="1"/>
  <c r="R20" i="9"/>
  <c r="C20" i="9"/>
  <c r="I20" i="9" s="1"/>
  <c r="B21" i="9"/>
  <c r="P18" i="9"/>
  <c r="Q17" i="9"/>
  <c r="V17" i="9" s="1"/>
  <c r="O16" i="9"/>
  <c r="U16" i="9" s="1"/>
  <c r="O41" i="9"/>
  <c r="P41" i="9" s="1"/>
  <c r="V41" i="9" s="1"/>
  <c r="N17" i="9"/>
  <c r="G45" i="9"/>
  <c r="K45" i="9" s="1"/>
  <c r="F47" i="9"/>
  <c r="G46" i="9"/>
  <c r="K46" i="9" s="1"/>
  <c r="B44" i="9"/>
  <c r="C43" i="9"/>
  <c r="I43" i="9" s="1"/>
  <c r="D47" i="9"/>
  <c r="E46" i="9"/>
  <c r="J46" i="9" s="1"/>
  <c r="D17" i="9"/>
  <c r="E16" i="9"/>
  <c r="J16" i="9" s="1"/>
  <c r="J26" i="3"/>
  <c r="L14" i="4"/>
  <c r="K14" i="4"/>
  <c r="J14" i="4"/>
  <c r="L13" i="4"/>
  <c r="K13" i="4"/>
  <c r="J13" i="4"/>
  <c r="L12" i="4"/>
  <c r="K12" i="4"/>
  <c r="J12" i="4"/>
  <c r="L11" i="4"/>
  <c r="K11" i="4"/>
  <c r="J11" i="4"/>
  <c r="L10" i="4"/>
  <c r="K10" i="4"/>
  <c r="J10" i="4"/>
  <c r="L9" i="4"/>
  <c r="K9" i="4"/>
  <c r="J9" i="4"/>
  <c r="L8" i="4"/>
  <c r="K8" i="4"/>
  <c r="J8" i="4"/>
  <c r="L7" i="4"/>
  <c r="K7" i="4"/>
  <c r="J7" i="4"/>
  <c r="L6" i="4"/>
  <c r="K6" i="4"/>
  <c r="J6" i="4"/>
  <c r="L5" i="4"/>
  <c r="K5" i="4"/>
  <c r="J5" i="4"/>
  <c r="Q19" i="3" l="1"/>
  <c r="H34" i="3"/>
  <c r="S17" i="3"/>
  <c r="P17" i="3"/>
  <c r="M17" i="4"/>
  <c r="M16" i="4"/>
  <c r="M15" i="4"/>
  <c r="M19" i="4"/>
  <c r="M18" i="4"/>
  <c r="S16" i="3"/>
  <c r="P16" i="3"/>
  <c r="S15" i="3"/>
  <c r="P15" i="3"/>
  <c r="N16" i="4"/>
  <c r="Q16" i="4" s="1"/>
  <c r="N17" i="4"/>
  <c r="Q17" i="4" s="1"/>
  <c r="N18" i="4"/>
  <c r="Q18" i="4" s="1"/>
  <c r="N19" i="4"/>
  <c r="N15" i="4"/>
  <c r="Q15" i="4" s="1"/>
  <c r="O16" i="4"/>
  <c r="R16" i="4" s="1"/>
  <c r="O17" i="4"/>
  <c r="R17" i="4" s="1"/>
  <c r="O18" i="4"/>
  <c r="R18" i="4" s="1"/>
  <c r="O19" i="4"/>
  <c r="O15" i="4"/>
  <c r="R15" i="4" s="1"/>
  <c r="P18" i="3"/>
  <c r="S18" i="3"/>
  <c r="R19" i="3"/>
  <c r="I34" i="3"/>
  <c r="G34" i="3"/>
  <c r="S19" i="3"/>
  <c r="P19" i="3"/>
  <c r="O17" i="9"/>
  <c r="U17" i="9" s="1"/>
  <c r="O42" i="9"/>
  <c r="P42" i="9" s="1"/>
  <c r="V42" i="9" s="1"/>
  <c r="N18" i="9"/>
  <c r="D18" i="9"/>
  <c r="Q43" i="9" s="1"/>
  <c r="R43" i="9" s="1"/>
  <c r="W43" i="9" s="1"/>
  <c r="Q42" i="9"/>
  <c r="R42" i="9" s="1"/>
  <c r="W42" i="9" s="1"/>
  <c r="B22" i="9"/>
  <c r="B23" i="9" s="1"/>
  <c r="B26" i="9" s="1"/>
  <c r="C21" i="9"/>
  <c r="I21" i="9" s="1"/>
  <c r="G19" i="9"/>
  <c r="K19" i="9" s="1"/>
  <c r="S44" i="9"/>
  <c r="T44" i="9" s="1"/>
  <c r="X44" i="9" s="1"/>
  <c r="F20" i="9"/>
  <c r="P19" i="9"/>
  <c r="Q18" i="9"/>
  <c r="V18" i="9" s="1"/>
  <c r="R21" i="9"/>
  <c r="S20" i="9"/>
  <c r="W20" i="9" s="1"/>
  <c r="G47" i="9"/>
  <c r="K47" i="9" s="1"/>
  <c r="F48" i="9"/>
  <c r="D48" i="9"/>
  <c r="E47" i="9"/>
  <c r="J47" i="9" s="1"/>
  <c r="B45" i="9"/>
  <c r="C44" i="9"/>
  <c r="I44" i="9" s="1"/>
  <c r="E17" i="9"/>
  <c r="J17" i="9" s="1"/>
  <c r="M7" i="4"/>
  <c r="M9" i="4"/>
  <c r="M11" i="4"/>
  <c r="M5" i="4"/>
  <c r="N5" i="4"/>
  <c r="Q5" i="4" s="1"/>
  <c r="O14" i="4"/>
  <c r="M6" i="4"/>
  <c r="N6" i="4"/>
  <c r="Q6" i="4" s="1"/>
  <c r="N7" i="4"/>
  <c r="Q7" i="4" s="1"/>
  <c r="N9" i="4"/>
  <c r="Q9" i="4" s="1"/>
  <c r="N11" i="4"/>
  <c r="Q11" i="4" s="1"/>
  <c r="N13" i="4"/>
  <c r="Q13" i="4" s="1"/>
  <c r="M13" i="4"/>
  <c r="O5" i="4"/>
  <c r="R5" i="4" s="1"/>
  <c r="O7" i="4"/>
  <c r="R7" i="4" s="1"/>
  <c r="O9" i="4"/>
  <c r="R9" i="4" s="1"/>
  <c r="O11" i="4"/>
  <c r="R11" i="4" s="1"/>
  <c r="O13" i="4"/>
  <c r="R13" i="4" s="1"/>
  <c r="M8" i="4"/>
  <c r="M10" i="4"/>
  <c r="M12" i="4"/>
  <c r="M14" i="4"/>
  <c r="N8" i="4"/>
  <c r="Q8" i="4" s="1"/>
  <c r="N10" i="4"/>
  <c r="Q10" i="4" s="1"/>
  <c r="N12" i="4"/>
  <c r="Q12" i="4" s="1"/>
  <c r="N14" i="4"/>
  <c r="O6" i="4"/>
  <c r="R6" i="4" s="1"/>
  <c r="O8" i="4"/>
  <c r="R8" i="4" s="1"/>
  <c r="O10" i="4"/>
  <c r="R10" i="4" s="1"/>
  <c r="O12" i="4"/>
  <c r="R12" i="4" s="1"/>
  <c r="O14" i="3"/>
  <c r="O10" i="3"/>
  <c r="R10" i="3" s="1"/>
  <c r="O12" i="3"/>
  <c r="R12" i="3" s="1"/>
  <c r="O8" i="3"/>
  <c r="R8" i="3" s="1"/>
  <c r="O13" i="3"/>
  <c r="R13" i="3" s="1"/>
  <c r="O9" i="3"/>
  <c r="R9" i="3" s="1"/>
  <c r="O5" i="3"/>
  <c r="R5" i="3" s="1"/>
  <c r="O6" i="3"/>
  <c r="R6" i="3" s="1"/>
  <c r="O11" i="3"/>
  <c r="R11" i="3" s="1"/>
  <c r="O7" i="3"/>
  <c r="R7" i="3" s="1"/>
  <c r="M8" i="3"/>
  <c r="M13" i="3"/>
  <c r="N14" i="3"/>
  <c r="N12" i="3"/>
  <c r="Q12" i="3" s="1"/>
  <c r="N8" i="3"/>
  <c r="Q8" i="3" s="1"/>
  <c r="N11" i="3"/>
  <c r="Q11" i="3" s="1"/>
  <c r="N7" i="3"/>
  <c r="Q7" i="3" s="1"/>
  <c r="N6" i="3"/>
  <c r="Q6" i="3" s="1"/>
  <c r="N13" i="3"/>
  <c r="Q13" i="3" s="1"/>
  <c r="N9" i="3"/>
  <c r="Q9" i="3" s="1"/>
  <c r="N5" i="3"/>
  <c r="Q5" i="3" s="1"/>
  <c r="N10" i="3"/>
  <c r="Q10" i="3" s="1"/>
  <c r="M10" i="3"/>
  <c r="M12" i="3"/>
  <c r="M7" i="3"/>
  <c r="M11" i="3"/>
  <c r="M6" i="3"/>
  <c r="M14" i="3"/>
  <c r="M5" i="3"/>
  <c r="M9" i="3"/>
  <c r="D4" i="1"/>
  <c r="H27" i="2"/>
  <c r="I27" i="2"/>
  <c r="J26" i="2"/>
  <c r="G27" i="2"/>
  <c r="I6" i="2"/>
  <c r="L6" i="2" s="1"/>
  <c r="I7" i="2"/>
  <c r="L7" i="2" s="1"/>
  <c r="I8" i="2"/>
  <c r="L8" i="2" s="1"/>
  <c r="I9" i="2"/>
  <c r="L9" i="2" s="1"/>
  <c r="I10" i="2"/>
  <c r="L10" i="2" s="1"/>
  <c r="I11" i="2"/>
  <c r="L11" i="2" s="1"/>
  <c r="I12" i="2"/>
  <c r="L12" i="2" s="1"/>
  <c r="I13" i="2"/>
  <c r="L13" i="2" s="1"/>
  <c r="I14" i="2"/>
  <c r="L14" i="2" s="1"/>
  <c r="I5" i="2"/>
  <c r="L5" i="2" s="1"/>
  <c r="H6" i="2"/>
  <c r="K6" i="2" s="1"/>
  <c r="H7" i="2"/>
  <c r="K7" i="2" s="1"/>
  <c r="H8" i="2"/>
  <c r="K8" i="2" s="1"/>
  <c r="H9" i="2"/>
  <c r="K9" i="2" s="1"/>
  <c r="H10" i="2"/>
  <c r="K10" i="2" s="1"/>
  <c r="H11" i="2"/>
  <c r="K11" i="2" s="1"/>
  <c r="H12" i="2"/>
  <c r="K12" i="2" s="1"/>
  <c r="H13" i="2"/>
  <c r="K13" i="2" s="1"/>
  <c r="H14" i="2"/>
  <c r="K14" i="2" s="1"/>
  <c r="H5" i="2"/>
  <c r="K5" i="2" s="1"/>
  <c r="G6" i="2"/>
  <c r="J6" i="2" s="1"/>
  <c r="G7" i="2"/>
  <c r="J7" i="2" s="1"/>
  <c r="G8" i="2"/>
  <c r="J8" i="2" s="1"/>
  <c r="G9" i="2"/>
  <c r="J9" i="2" s="1"/>
  <c r="G10" i="2"/>
  <c r="J10" i="2" s="1"/>
  <c r="G11" i="2"/>
  <c r="J11" i="2" s="1"/>
  <c r="G12" i="2"/>
  <c r="J12" i="2" s="1"/>
  <c r="G13" i="2"/>
  <c r="J13" i="2" s="1"/>
  <c r="G14" i="2"/>
  <c r="J14" i="2" s="1"/>
  <c r="G5" i="2"/>
  <c r="J5" i="2" s="1"/>
  <c r="S12" i="3" l="1"/>
  <c r="P12" i="3"/>
  <c r="S13" i="3"/>
  <c r="P13" i="3"/>
  <c r="D39" i="4"/>
  <c r="R14" i="4"/>
  <c r="D35" i="4"/>
  <c r="J27" i="4"/>
  <c r="S18" i="4"/>
  <c r="P18" i="4"/>
  <c r="S15" i="4"/>
  <c r="P15" i="4"/>
  <c r="O6" i="2"/>
  <c r="R6" i="2" s="1"/>
  <c r="I29" i="2"/>
  <c r="I31" i="2" s="1"/>
  <c r="I32" i="2" s="1"/>
  <c r="O19" i="2"/>
  <c r="R19" i="2" s="1"/>
  <c r="O15" i="2"/>
  <c r="R15" i="2" s="1"/>
  <c r="O18" i="2"/>
  <c r="R18" i="2" s="1"/>
  <c r="O16" i="2"/>
  <c r="R16" i="2" s="1"/>
  <c r="O14" i="2"/>
  <c r="I35" i="2"/>
  <c r="I37" i="2" s="1"/>
  <c r="L20" i="2"/>
  <c r="O17" i="2"/>
  <c r="R17" i="2" s="1"/>
  <c r="R4" i="2"/>
  <c r="S11" i="4"/>
  <c r="P11" i="4"/>
  <c r="S16" i="4"/>
  <c r="P16" i="4"/>
  <c r="P4" i="2"/>
  <c r="Q4" i="2"/>
  <c r="D38" i="4"/>
  <c r="Q14" i="4"/>
  <c r="B39" i="4" s="1"/>
  <c r="I27" i="4"/>
  <c r="D34" i="4"/>
  <c r="S9" i="4"/>
  <c r="P9" i="4"/>
  <c r="Q19" i="4"/>
  <c r="I33" i="4"/>
  <c r="S17" i="4"/>
  <c r="P17" i="4"/>
  <c r="S13" i="4"/>
  <c r="P13" i="4"/>
  <c r="S7" i="4"/>
  <c r="P7" i="4"/>
  <c r="C33" i="4"/>
  <c r="J34" i="3"/>
  <c r="J36" i="3" s="1"/>
  <c r="G36" i="3"/>
  <c r="G35" i="3"/>
  <c r="S8" i="3"/>
  <c r="P8" i="3"/>
  <c r="S5" i="4"/>
  <c r="P5" i="4"/>
  <c r="B33" i="4"/>
  <c r="S9" i="3"/>
  <c r="P9" i="3"/>
  <c r="I36" i="3"/>
  <c r="I35" i="3"/>
  <c r="I37" i="3" s="1"/>
  <c r="S10" i="3"/>
  <c r="P10" i="3"/>
  <c r="B38" i="4"/>
  <c r="S19" i="4"/>
  <c r="P19" i="4"/>
  <c r="H33" i="4"/>
  <c r="N16" i="2"/>
  <c r="Q16" i="2" s="1"/>
  <c r="N19" i="2"/>
  <c r="Q19" i="2" s="1"/>
  <c r="N15" i="2"/>
  <c r="Q15" i="2" s="1"/>
  <c r="N17" i="2"/>
  <c r="Q17" i="2" s="1"/>
  <c r="K20" i="2"/>
  <c r="N18" i="2"/>
  <c r="Q18" i="2" s="1"/>
  <c r="H29" i="2"/>
  <c r="H35" i="2"/>
  <c r="H37" i="2" s="1"/>
  <c r="M16" i="2"/>
  <c r="M19" i="2"/>
  <c r="J20" i="2"/>
  <c r="M18" i="2"/>
  <c r="M17" i="2"/>
  <c r="M14" i="2"/>
  <c r="M15" i="2"/>
  <c r="G35" i="2"/>
  <c r="G29" i="2"/>
  <c r="S5" i="3"/>
  <c r="P5" i="3"/>
  <c r="C36" i="3"/>
  <c r="D36" i="3"/>
  <c r="S14" i="3"/>
  <c r="P14" i="3"/>
  <c r="G28" i="3"/>
  <c r="G29" i="3" s="1"/>
  <c r="D32" i="3"/>
  <c r="D37" i="4"/>
  <c r="S14" i="4"/>
  <c r="P14" i="4"/>
  <c r="D33" i="4"/>
  <c r="H27" i="4"/>
  <c r="H36" i="3"/>
  <c r="H35" i="3"/>
  <c r="H37" i="3" s="1"/>
  <c r="S6" i="3"/>
  <c r="P6" i="3"/>
  <c r="S12" i="4"/>
  <c r="P12" i="4"/>
  <c r="C37" i="4"/>
  <c r="S11" i="3"/>
  <c r="P11" i="3"/>
  <c r="S10" i="4"/>
  <c r="P10" i="4"/>
  <c r="S7" i="3"/>
  <c r="P7" i="3"/>
  <c r="D37" i="3"/>
  <c r="Q14" i="3"/>
  <c r="B38" i="3" s="1"/>
  <c r="H28" i="3"/>
  <c r="D33" i="3"/>
  <c r="D38" i="3"/>
  <c r="R14" i="3"/>
  <c r="I28" i="3"/>
  <c r="I30" i="3" s="1"/>
  <c r="D34" i="3"/>
  <c r="S8" i="4"/>
  <c r="P8" i="4"/>
  <c r="S6" i="4"/>
  <c r="P6" i="4"/>
  <c r="R19" i="4"/>
  <c r="J33" i="4"/>
  <c r="D19" i="9"/>
  <c r="Q44" i="9" s="1"/>
  <c r="R44" i="9" s="1"/>
  <c r="W44" i="9" s="1"/>
  <c r="E18" i="9"/>
  <c r="J18" i="9" s="1"/>
  <c r="R22" i="9"/>
  <c r="S21" i="9"/>
  <c r="W21" i="9" s="1"/>
  <c r="S45" i="9"/>
  <c r="T45" i="9" s="1"/>
  <c r="X45" i="9" s="1"/>
  <c r="G20" i="9"/>
  <c r="K20" i="9" s="1"/>
  <c r="F21" i="9"/>
  <c r="P20" i="9"/>
  <c r="Q19" i="9"/>
  <c r="V19" i="9" s="1"/>
  <c r="C22" i="9"/>
  <c r="I22" i="9" s="1"/>
  <c r="D20" i="9"/>
  <c r="N19" i="9"/>
  <c r="O18" i="9"/>
  <c r="U18" i="9" s="1"/>
  <c r="O43" i="9"/>
  <c r="P43" i="9" s="1"/>
  <c r="V43" i="9" s="1"/>
  <c r="B46" i="9"/>
  <c r="C45" i="9"/>
  <c r="I45" i="9" s="1"/>
  <c r="G48" i="9"/>
  <c r="K48" i="9" s="1"/>
  <c r="F49" i="9"/>
  <c r="G49" i="9" s="1"/>
  <c r="K49" i="9" s="1"/>
  <c r="D49" i="9"/>
  <c r="E49" i="9" s="1"/>
  <c r="J49" i="9" s="1"/>
  <c r="E48" i="9"/>
  <c r="J48" i="9" s="1"/>
  <c r="G30" i="2"/>
  <c r="G31" i="2"/>
  <c r="G32" i="2" s="1"/>
  <c r="I30" i="2"/>
  <c r="H31" i="2"/>
  <c r="H32" i="2" s="1"/>
  <c r="H30" i="2"/>
  <c r="B33" i="3"/>
  <c r="J29" i="4"/>
  <c r="J28" i="4"/>
  <c r="J30" i="4" s="1"/>
  <c r="K27" i="4"/>
  <c r="K29" i="4" s="1"/>
  <c r="H29" i="4"/>
  <c r="H28" i="4"/>
  <c r="B34" i="4"/>
  <c r="B34" i="3"/>
  <c r="B35" i="4"/>
  <c r="C32" i="3"/>
  <c r="I28" i="4"/>
  <c r="I30" i="4" s="1"/>
  <c r="I29" i="4"/>
  <c r="N12" i="2"/>
  <c r="Q12" i="2" s="1"/>
  <c r="N5" i="2"/>
  <c r="Q5" i="2" s="1"/>
  <c r="N10" i="2"/>
  <c r="Q10" i="2" s="1"/>
  <c r="H30" i="3"/>
  <c r="H29" i="3"/>
  <c r="H31" i="3" s="1"/>
  <c r="G30" i="3"/>
  <c r="J27" i="2"/>
  <c r="M11" i="2"/>
  <c r="M10" i="2"/>
  <c r="M9" i="2"/>
  <c r="M8" i="2"/>
  <c r="M7" i="2"/>
  <c r="M5" i="2"/>
  <c r="M6" i="2"/>
  <c r="M12" i="2"/>
  <c r="M13" i="2"/>
  <c r="O11" i="2"/>
  <c r="R11" i="2" s="1"/>
  <c r="N11" i="2"/>
  <c r="Q11" i="2" s="1"/>
  <c r="O10" i="2"/>
  <c r="R10" i="2" s="1"/>
  <c r="N6" i="2"/>
  <c r="Q6" i="2" s="1"/>
  <c r="O9" i="2"/>
  <c r="R9" i="2" s="1"/>
  <c r="N9" i="2"/>
  <c r="Q9" i="2" s="1"/>
  <c r="O8" i="2"/>
  <c r="R8" i="2" s="1"/>
  <c r="N14" i="2"/>
  <c r="N8" i="2"/>
  <c r="Q8" i="2" s="1"/>
  <c r="O13" i="2"/>
  <c r="R13" i="2" s="1"/>
  <c r="O7" i="2"/>
  <c r="R7" i="2" s="1"/>
  <c r="N13" i="2"/>
  <c r="Q13" i="2" s="1"/>
  <c r="N7" i="2"/>
  <c r="Q7" i="2" s="1"/>
  <c r="O12" i="2"/>
  <c r="R12" i="2" s="1"/>
  <c r="O5" i="2"/>
  <c r="R5" i="2" s="1"/>
  <c r="S8" i="2" l="1"/>
  <c r="P8" i="2"/>
  <c r="B40" i="2"/>
  <c r="G37" i="2"/>
  <c r="J35" i="2"/>
  <c r="J37" i="2" s="1"/>
  <c r="S10" i="2"/>
  <c r="P10" i="2"/>
  <c r="D38" i="2"/>
  <c r="S14" i="2"/>
  <c r="P14" i="2"/>
  <c r="D34" i="2"/>
  <c r="H36" i="2"/>
  <c r="H38" i="2" s="1"/>
  <c r="S17" i="2"/>
  <c r="P17" i="2"/>
  <c r="B39" i="2"/>
  <c r="D40" i="2"/>
  <c r="R14" i="2"/>
  <c r="D36" i="2"/>
  <c r="S9" i="2"/>
  <c r="P9" i="2"/>
  <c r="S18" i="2"/>
  <c r="P18" i="2"/>
  <c r="H35" i="4"/>
  <c r="K33" i="4"/>
  <c r="K35" i="4" s="1"/>
  <c r="H34" i="4"/>
  <c r="B37" i="4"/>
  <c r="G36" i="2"/>
  <c r="G38" i="2" s="1"/>
  <c r="J28" i="3"/>
  <c r="J30" i="3" s="1"/>
  <c r="J35" i="4"/>
  <c r="J34" i="4"/>
  <c r="J36" i="4" s="1"/>
  <c r="S19" i="2"/>
  <c r="P19" i="2"/>
  <c r="I35" i="4"/>
  <c r="I34" i="4"/>
  <c r="I36" i="4" s="1"/>
  <c r="S16" i="2"/>
  <c r="P16" i="2"/>
  <c r="G37" i="3"/>
  <c r="J35" i="3"/>
  <c r="J37" i="3" s="1"/>
  <c r="S6" i="2"/>
  <c r="P6" i="2"/>
  <c r="I29" i="3"/>
  <c r="I31" i="3" s="1"/>
  <c r="B36" i="3"/>
  <c r="S13" i="2"/>
  <c r="P13" i="2"/>
  <c r="S12" i="2"/>
  <c r="P12" i="2"/>
  <c r="J30" i="2"/>
  <c r="J32" i="2" s="1"/>
  <c r="B34" i="2"/>
  <c r="S5" i="2"/>
  <c r="P5" i="2"/>
  <c r="B38" i="2" s="1"/>
  <c r="I36" i="2"/>
  <c r="I38" i="2" s="1"/>
  <c r="B37" i="3"/>
  <c r="S15" i="2"/>
  <c r="P15" i="2"/>
  <c r="S11" i="2"/>
  <c r="P11" i="2"/>
  <c r="D39" i="2"/>
  <c r="Q14" i="2"/>
  <c r="C38" i="2" s="1"/>
  <c r="D35" i="2"/>
  <c r="S7" i="2"/>
  <c r="P7" i="2"/>
  <c r="J29" i="2"/>
  <c r="J31" i="2" s="1"/>
  <c r="D21" i="9"/>
  <c r="Q45" i="9"/>
  <c r="R45" i="9" s="1"/>
  <c r="W45" i="9" s="1"/>
  <c r="P21" i="9"/>
  <c r="Q20" i="9"/>
  <c r="V20" i="9" s="1"/>
  <c r="S46" i="9"/>
  <c r="T46" i="9" s="1"/>
  <c r="X46" i="9" s="1"/>
  <c r="F22" i="9"/>
  <c r="G21" i="9"/>
  <c r="K21" i="9" s="1"/>
  <c r="C23" i="9"/>
  <c r="N20" i="9"/>
  <c r="O19" i="9"/>
  <c r="U19" i="9" s="1"/>
  <c r="O44" i="9"/>
  <c r="P44" i="9" s="1"/>
  <c r="V44" i="9" s="1"/>
  <c r="R23" i="9"/>
  <c r="S23" i="9" s="1"/>
  <c r="W23" i="9" s="1"/>
  <c r="S22" i="9"/>
  <c r="W22" i="9" s="1"/>
  <c r="B47" i="9"/>
  <c r="C46" i="9"/>
  <c r="I46" i="9" s="1"/>
  <c r="E19" i="9"/>
  <c r="J19" i="9" s="1"/>
  <c r="K28" i="4"/>
  <c r="K30" i="4" s="1"/>
  <c r="H30" i="4"/>
  <c r="B35" i="2"/>
  <c r="C34" i="2"/>
  <c r="B36" i="2"/>
  <c r="G31" i="3"/>
  <c r="J29" i="3"/>
  <c r="J31" i="3" s="1"/>
  <c r="I23" i="9" l="1"/>
  <c r="C26" i="9"/>
  <c r="J36" i="2"/>
  <c r="J38" i="2" s="1"/>
  <c r="H36" i="4"/>
  <c r="K34" i="4"/>
  <c r="K36" i="4" s="1"/>
  <c r="D22" i="9"/>
  <c r="D23" i="9" s="1"/>
  <c r="D25" i="9" s="1"/>
  <c r="Q46" i="9"/>
  <c r="R46" i="9" s="1"/>
  <c r="W46" i="9" s="1"/>
  <c r="O20" i="9"/>
  <c r="U20" i="9" s="1"/>
  <c r="N21" i="9"/>
  <c r="O45" i="9"/>
  <c r="P45" i="9" s="1"/>
  <c r="V45" i="9" s="1"/>
  <c r="P22" i="9"/>
  <c r="Q21" i="9"/>
  <c r="V21" i="9" s="1"/>
  <c r="S47" i="9"/>
  <c r="T47" i="9" s="1"/>
  <c r="X47" i="9" s="1"/>
  <c r="F23" i="9"/>
  <c r="F24" i="9" s="1"/>
  <c r="G22" i="9"/>
  <c r="K22" i="9" s="1"/>
  <c r="B48" i="9"/>
  <c r="C47" i="9"/>
  <c r="I47" i="9" s="1"/>
  <c r="E20" i="9"/>
  <c r="J20" i="9" s="1"/>
  <c r="S48" i="9" l="1"/>
  <c r="T48" i="9" s="1"/>
  <c r="X48" i="9" s="1"/>
  <c r="G23" i="9"/>
  <c r="K23" i="9" s="1"/>
  <c r="P23" i="9"/>
  <c r="Q23" i="9" s="1"/>
  <c r="V23" i="9" s="1"/>
  <c r="Q22" i="9"/>
  <c r="V22" i="9" s="1"/>
  <c r="O21" i="9"/>
  <c r="U21" i="9" s="1"/>
  <c r="N22" i="9"/>
  <c r="O46" i="9"/>
  <c r="P46" i="9" s="1"/>
  <c r="V46" i="9" s="1"/>
  <c r="Q47" i="9"/>
  <c r="R47" i="9" s="1"/>
  <c r="W47" i="9" s="1"/>
  <c r="B49" i="9"/>
  <c r="C49" i="9" s="1"/>
  <c r="I49" i="9" s="1"/>
  <c r="C48" i="9"/>
  <c r="I48" i="9" s="1"/>
  <c r="E21" i="9"/>
  <c r="J21" i="9" s="1"/>
  <c r="Q48" i="9" l="1"/>
  <c r="R48" i="9" s="1"/>
  <c r="W48" i="9" s="1"/>
  <c r="O22" i="9"/>
  <c r="U22" i="9" s="1"/>
  <c r="N23" i="9"/>
  <c r="O47" i="9"/>
  <c r="P47" i="9" s="1"/>
  <c r="V47" i="9" s="1"/>
  <c r="E23" i="9"/>
  <c r="J23" i="9" s="1"/>
  <c r="E22" i="9"/>
  <c r="J22" i="9" s="1"/>
  <c r="O23" i="9" l="1"/>
  <c r="U23" i="9" s="1"/>
  <c r="O48" i="9"/>
  <c r="P48" i="9" s="1"/>
  <c r="V48" i="9" s="1"/>
  <c r="G24" i="9" l="1"/>
  <c r="E25" i="9"/>
</calcChain>
</file>

<file path=xl/sharedStrings.xml><?xml version="1.0" encoding="utf-8"?>
<sst xmlns="http://schemas.openxmlformats.org/spreadsheetml/2006/main" count="336" uniqueCount="84">
  <si>
    <t>Flakes and crumbles (15-09-20)</t>
  </si>
  <si>
    <t>Flakes</t>
  </si>
  <si>
    <t>Initial weght (mg)</t>
  </si>
  <si>
    <t>Crumbles</t>
  </si>
  <si>
    <t>Initial weight (mg)</t>
  </si>
  <si>
    <t>Flake 1</t>
  </si>
  <si>
    <t>Session</t>
  </si>
  <si>
    <t>Vol (mL)</t>
  </si>
  <si>
    <t>-</t>
  </si>
  <si>
    <t>m 10s</t>
  </si>
  <si>
    <t>Remaining %</t>
  </si>
  <si>
    <t>Total</t>
  </si>
  <si>
    <t>NTO</t>
  </si>
  <si>
    <t>DNAN</t>
  </si>
  <si>
    <t>RDX</t>
  </si>
  <si>
    <t>Area</t>
  </si>
  <si>
    <t>Standards</t>
  </si>
  <si>
    <t>Conc (ppm)</t>
  </si>
  <si>
    <t>Area (AU)</t>
  </si>
  <si>
    <t>Time (min)</t>
  </si>
  <si>
    <t>lambda (nm)</t>
  </si>
  <si>
    <t>nd</t>
  </si>
  <si>
    <t>Mass (mg)</t>
  </si>
  <si>
    <t>Cummulative (mg)</t>
  </si>
  <si>
    <t>%</t>
  </si>
  <si>
    <t>Mass balance</t>
  </si>
  <si>
    <t xml:space="preserve">InitiL mass </t>
  </si>
  <si>
    <t>diss (mg)</t>
  </si>
  <si>
    <t>initial</t>
  </si>
  <si>
    <t>solid</t>
  </si>
  <si>
    <t>% diss</t>
  </si>
  <si>
    <t>% solid</t>
  </si>
  <si>
    <t>Gravimetry</t>
  </si>
  <si>
    <t>Dissolution rate (mg/min)</t>
  </si>
  <si>
    <t>Diss rate</t>
  </si>
  <si>
    <t>NTO 1</t>
  </si>
  <si>
    <t>NTO 2</t>
  </si>
  <si>
    <t>Average</t>
  </si>
  <si>
    <t>Error</t>
  </si>
  <si>
    <t xml:space="preserve">NTO </t>
  </si>
  <si>
    <t>Dissolved (%)</t>
  </si>
  <si>
    <t>Solid (%)</t>
  </si>
  <si>
    <t>R</t>
  </si>
  <si>
    <t>Flake</t>
  </si>
  <si>
    <t>FLAKES</t>
  </si>
  <si>
    <t>Conc 2</t>
  </si>
  <si>
    <t>Area 2</t>
  </si>
  <si>
    <t xml:space="preserve">Conc 2 </t>
  </si>
  <si>
    <t>1st attemp</t>
  </si>
  <si>
    <t>2nd attemp</t>
  </si>
  <si>
    <t>STANDARDS</t>
  </si>
  <si>
    <t>MASS BALANCE</t>
  </si>
  <si>
    <t>15-50</t>
  </si>
  <si>
    <t>50-100</t>
  </si>
  <si>
    <t>Diss rate (mg/min)</t>
  </si>
  <si>
    <t>0-15</t>
  </si>
  <si>
    <t>1st attempt</t>
  </si>
  <si>
    <t>2nd attempt</t>
  </si>
  <si>
    <t>NTO3</t>
  </si>
  <si>
    <t>DNAN2</t>
  </si>
  <si>
    <t>RDX2</t>
  </si>
  <si>
    <t>dii</t>
  </si>
  <si>
    <t>remaning</t>
  </si>
  <si>
    <t>dissolved</t>
  </si>
  <si>
    <t>GS</t>
  </si>
  <si>
    <t>Time</t>
  </si>
  <si>
    <t>Mass</t>
  </si>
  <si>
    <t xml:space="preserve">initial </t>
  </si>
  <si>
    <t>Dissolved</t>
  </si>
  <si>
    <t>Mean</t>
  </si>
  <si>
    <t>Max</t>
  </si>
  <si>
    <t>Min</t>
  </si>
  <si>
    <t>Exp</t>
  </si>
  <si>
    <t>rdx</t>
  </si>
  <si>
    <t>Percentge (%)</t>
  </si>
  <si>
    <t>IMX-104</t>
  </si>
  <si>
    <t>IMX</t>
  </si>
  <si>
    <t>M/Mo</t>
  </si>
  <si>
    <t>time</t>
  </si>
  <si>
    <t>every 100 min equals 3 months</t>
  </si>
  <si>
    <t>% IHE</t>
  </si>
  <si>
    <t>mg/min</t>
  </si>
  <si>
    <t>Dissolution rate (%/min)</t>
  </si>
  <si>
    <t>Average mass dissolved per time (mg)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</si>
</sst>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
  </numFmts>
  <fonts count="7" x14ac:knownFonts="1">
    <font>
      <sz val="11"/>
      <color theme="1"/>
      <name val="Calibri"/>
      <family val="2"/>
      <scheme val="minor"/>
    </font>
    <font>
      <sz val="14"/>
      <color theme="1"/>
      <name val="Calibri"/>
      <family val="2"/>
      <scheme val="minor"/>
    </font>
    <font>
      <b/>
      <sz val="11"/>
      <color theme="1"/>
      <name val="Calibri"/>
      <family val="2"/>
      <scheme val="minor"/>
    </font>
    <font>
      <b/>
      <sz val="11"/>
      <color theme="5"/>
      <name val="Calibri"/>
      <family val="2"/>
      <scheme val="minor"/>
    </font>
    <font>
      <b/>
      <sz val="11"/>
      <color theme="8"/>
      <name val="Calibri"/>
      <family val="2"/>
      <scheme val="minor"/>
    </font>
    <font>
      <b/>
      <sz val="11"/>
      <color theme="5" tint="-0.249977111117893"/>
      <name val="Calibri"/>
      <family val="2"/>
      <scheme val="minor"/>
    </font>
    <font>
      <sz val="12"/>
      <color theme="1"/>
      <name val="Times New Roman"/>
      <family val="1"/>
    </font>
  </fonts>
  <fills count="12">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249977111117893"/>
        <bgColor indexed="64"/>
      </patternFill>
    </fill>
    <fill>
      <patternFill patternType="solid">
        <fgColor theme="6"/>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7" tint="0.59999389629810485"/>
        <bgColor indexed="64"/>
      </patternFill>
    </fill>
  </fills>
  <borders count="2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29">
    <xf numFmtId="0" fontId="0" fillId="0" borderId="0" xfId="0"/>
    <xf numFmtId="0" fontId="0" fillId="0" borderId="0" xfId="0" applyAlignment="1">
      <alignment horizontal="center"/>
    </xf>
    <xf numFmtId="0" fontId="1" fillId="2" borderId="0" xfId="0" applyFont="1" applyFill="1"/>
    <xf numFmtId="164" fontId="0" fillId="0" borderId="0" xfId="0" applyNumberFormat="1"/>
    <xf numFmtId="164" fontId="0" fillId="0" borderId="0" xfId="0" applyNumberFormat="1" applyBorder="1"/>
    <xf numFmtId="0" fontId="0" fillId="0" borderId="0" xfId="0" applyBorder="1"/>
    <xf numFmtId="0" fontId="0" fillId="0" borderId="2" xfId="0" applyBorder="1"/>
    <xf numFmtId="0" fontId="0" fillId="0" borderId="3" xfId="0" applyBorder="1"/>
    <xf numFmtId="0" fontId="0" fillId="0" borderId="4" xfId="0" applyBorder="1"/>
    <xf numFmtId="2" fontId="0" fillId="0" borderId="0" xfId="0" applyNumberFormat="1"/>
    <xf numFmtId="0" fontId="0" fillId="0" borderId="5" xfId="0" applyBorder="1"/>
    <xf numFmtId="0" fontId="0" fillId="0" borderId="9" xfId="0" applyBorder="1"/>
    <xf numFmtId="2" fontId="0" fillId="0" borderId="5" xfId="0" applyNumberFormat="1" applyBorder="1"/>
    <xf numFmtId="2" fontId="0" fillId="0" borderId="0" xfId="0" applyNumberFormat="1" applyBorder="1"/>
    <xf numFmtId="2" fontId="0" fillId="0" borderId="9" xfId="0" applyNumberFormat="1" applyBorder="1"/>
    <xf numFmtId="2" fontId="0" fillId="0" borderId="10" xfId="0" applyNumberFormat="1" applyBorder="1"/>
    <xf numFmtId="2" fontId="0" fillId="0" borderId="1" xfId="0" applyNumberFormat="1" applyBorder="1"/>
    <xf numFmtId="2" fontId="0" fillId="0" borderId="11" xfId="0" applyNumberFormat="1" applyBorder="1"/>
    <xf numFmtId="0" fontId="0" fillId="0" borderId="6" xfId="0" applyBorder="1"/>
    <xf numFmtId="0" fontId="0" fillId="0" borderId="7" xfId="0" applyBorder="1"/>
    <xf numFmtId="0" fontId="0" fillId="0" borderId="8" xfId="0" applyBorder="1"/>
    <xf numFmtId="0" fontId="2" fillId="0" borderId="0" xfId="0" applyFont="1"/>
    <xf numFmtId="1" fontId="0" fillId="0" borderId="0" xfId="0" applyNumberFormat="1"/>
    <xf numFmtId="164" fontId="2" fillId="0" borderId="0" xfId="0" applyNumberFormat="1" applyFont="1"/>
    <xf numFmtId="165" fontId="0" fillId="0" borderId="0" xfId="0" applyNumberFormat="1"/>
    <xf numFmtId="165" fontId="2" fillId="0" borderId="0" xfId="0" applyNumberFormat="1" applyFont="1"/>
    <xf numFmtId="0" fontId="0" fillId="3" borderId="6" xfId="0" applyFill="1" applyBorder="1"/>
    <xf numFmtId="0" fontId="0" fillId="3" borderId="7" xfId="0" applyFill="1" applyBorder="1"/>
    <xf numFmtId="0" fontId="0" fillId="3" borderId="8" xfId="0" applyFill="1" applyBorder="1"/>
    <xf numFmtId="0" fontId="0" fillId="3" borderId="5" xfId="0" applyFill="1" applyBorder="1"/>
    <xf numFmtId="0" fontId="0" fillId="3" borderId="0" xfId="0" applyFill="1" applyBorder="1"/>
    <xf numFmtId="0" fontId="0" fillId="3" borderId="9" xfId="0" applyFill="1" applyBorder="1"/>
    <xf numFmtId="0" fontId="0" fillId="3" borderId="10" xfId="0" applyFill="1" applyBorder="1"/>
    <xf numFmtId="0" fontId="0" fillId="3" borderId="1" xfId="0" applyFill="1" applyBorder="1"/>
    <xf numFmtId="0" fontId="0" fillId="3" borderId="11" xfId="0" applyFill="1" applyBorder="1"/>
    <xf numFmtId="0" fontId="2" fillId="0" borderId="0" xfId="0" applyFont="1" applyAlignment="1">
      <alignment horizontal="center"/>
    </xf>
    <xf numFmtId="164" fontId="2" fillId="0" borderId="0" xfId="0" applyNumberFormat="1" applyFont="1" applyAlignment="1">
      <alignment horizontal="center"/>
    </xf>
    <xf numFmtId="0" fontId="0" fillId="0" borderId="0" xfId="0" applyAlignment="1"/>
    <xf numFmtId="0" fontId="0" fillId="2" borderId="0" xfId="0" applyFill="1"/>
    <xf numFmtId="164" fontId="0" fillId="0" borderId="0" xfId="0" applyNumberFormat="1" applyFont="1"/>
    <xf numFmtId="164" fontId="0" fillId="0" borderId="10" xfId="0" applyNumberFormat="1" applyBorder="1"/>
    <xf numFmtId="164" fontId="0" fillId="0" borderId="1" xfId="0" applyNumberFormat="1" applyBorder="1"/>
    <xf numFmtId="164" fontId="0" fillId="0" borderId="11" xfId="0" applyNumberFormat="1" applyBorder="1"/>
    <xf numFmtId="164" fontId="0" fillId="0" borderId="7" xfId="0" applyNumberFormat="1" applyBorder="1"/>
    <xf numFmtId="2" fontId="0" fillId="0" borderId="6" xfId="0" applyNumberFormat="1" applyBorder="1"/>
    <xf numFmtId="2" fontId="0" fillId="0" borderId="7" xfId="0" applyNumberFormat="1" applyBorder="1"/>
    <xf numFmtId="2" fontId="0" fillId="0" borderId="8" xfId="0" applyNumberFormat="1" applyBorder="1"/>
    <xf numFmtId="0" fontId="0" fillId="0" borderId="10" xfId="0" applyBorder="1"/>
    <xf numFmtId="0" fontId="0" fillId="0" borderId="1" xfId="0" applyBorder="1"/>
    <xf numFmtId="164" fontId="0" fillId="0" borderId="5" xfId="0" applyNumberFormat="1" applyBorder="1"/>
    <xf numFmtId="164" fontId="0" fillId="0" borderId="9" xfId="0" applyNumberFormat="1" applyBorder="1"/>
    <xf numFmtId="164" fontId="0" fillId="0" borderId="6" xfId="0" applyNumberFormat="1" applyBorder="1"/>
    <xf numFmtId="164" fontId="0" fillId="0" borderId="8" xfId="0" applyNumberFormat="1" applyBorder="1"/>
    <xf numFmtId="0" fontId="0" fillId="0" borderId="11" xfId="0" applyBorder="1"/>
    <xf numFmtId="0" fontId="0" fillId="0" borderId="0" xfId="0" applyFill="1" applyBorder="1"/>
    <xf numFmtId="164" fontId="3" fillId="0" borderId="0" xfId="0" applyNumberFormat="1" applyFont="1"/>
    <xf numFmtId="0" fontId="3" fillId="0" borderId="0" xfId="0" applyFont="1"/>
    <xf numFmtId="164" fontId="4" fillId="0" borderId="0" xfId="0" applyNumberFormat="1" applyFont="1"/>
    <xf numFmtId="0" fontId="5" fillId="0" borderId="0" xfId="0" applyFont="1"/>
    <xf numFmtId="164" fontId="5" fillId="0" borderId="0" xfId="0" applyNumberFormat="1" applyFont="1"/>
    <xf numFmtId="0" fontId="0" fillId="3" borderId="12" xfId="0" applyFill="1" applyBorder="1"/>
    <xf numFmtId="0" fontId="2" fillId="3" borderId="15" xfId="0" applyFont="1" applyFill="1" applyBorder="1"/>
    <xf numFmtId="0" fontId="0" fillId="3" borderId="0" xfId="0" applyFont="1" applyFill="1" applyBorder="1" applyAlignment="1">
      <alignment horizontal="center"/>
    </xf>
    <xf numFmtId="0" fontId="0" fillId="3" borderId="16" xfId="0" applyFont="1" applyFill="1" applyBorder="1" applyAlignment="1">
      <alignment horizontal="center"/>
    </xf>
    <xf numFmtId="0" fontId="0" fillId="3" borderId="15" xfId="0" applyFill="1" applyBorder="1"/>
    <xf numFmtId="0" fontId="0" fillId="3" borderId="16" xfId="0" applyFill="1" applyBorder="1"/>
    <xf numFmtId="0" fontId="0" fillId="3" borderId="17" xfId="0" applyFill="1" applyBorder="1"/>
    <xf numFmtId="0" fontId="0" fillId="3" borderId="18" xfId="0" applyFill="1" applyBorder="1"/>
    <xf numFmtId="0" fontId="0" fillId="3" borderId="19" xfId="0" applyFill="1" applyBorder="1"/>
    <xf numFmtId="0" fontId="0" fillId="3" borderId="13" xfId="0" applyFill="1" applyBorder="1"/>
    <xf numFmtId="0" fontId="0" fillId="3" borderId="14" xfId="0" applyFill="1" applyBorder="1"/>
    <xf numFmtId="165" fontId="0" fillId="3" borderId="13" xfId="0" applyNumberFormat="1" applyFill="1" applyBorder="1"/>
    <xf numFmtId="166" fontId="0" fillId="3" borderId="16" xfId="0" applyNumberFormat="1" applyFill="1" applyBorder="1"/>
    <xf numFmtId="165" fontId="0" fillId="0" borderId="0" xfId="0" applyNumberFormat="1" applyFill="1" applyBorder="1"/>
    <xf numFmtId="166" fontId="0" fillId="0" borderId="0" xfId="0" applyNumberFormat="1" applyFill="1" applyBorder="1"/>
    <xf numFmtId="1" fontId="0" fillId="0" borderId="0" xfId="0" applyNumberFormat="1" applyAlignment="1">
      <alignment horizontal="center"/>
    </xf>
    <xf numFmtId="0" fontId="6" fillId="0" borderId="23" xfId="0" applyFont="1" applyBorder="1" applyAlignment="1">
      <alignment horizontal="justify" vertical="center" wrapText="1"/>
    </xf>
    <xf numFmtId="0" fontId="6" fillId="0" borderId="24" xfId="0" applyFont="1" applyBorder="1" applyAlignment="1">
      <alignment horizontal="justify"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0" fillId="0" borderId="5" xfId="0" applyBorder="1" applyAlignment="1">
      <alignment horizontal="center"/>
    </xf>
    <xf numFmtId="0" fontId="0" fillId="0" borderId="9" xfId="0" applyBorder="1" applyAlignment="1">
      <alignment horizontal="center"/>
    </xf>
    <xf numFmtId="164" fontId="0" fillId="0" borderId="6" xfId="0" applyNumberFormat="1" applyBorder="1" applyAlignment="1">
      <alignment horizontal="center"/>
    </xf>
    <xf numFmtId="164" fontId="0" fillId="0" borderId="8" xfId="0" applyNumberFormat="1" applyBorder="1" applyAlignment="1">
      <alignment horizontal="center"/>
    </xf>
    <xf numFmtId="164" fontId="0" fillId="0" borderId="5" xfId="0" applyNumberFormat="1" applyBorder="1" applyAlignment="1">
      <alignment horizontal="center"/>
    </xf>
    <xf numFmtId="164" fontId="0" fillId="0" borderId="9" xfId="0" applyNumberForma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0" fontId="0" fillId="0" borderId="5" xfId="0" applyFill="1" applyBorder="1"/>
    <xf numFmtId="164" fontId="0" fillId="0" borderId="1" xfId="0" applyNumberFormat="1" applyBorder="1" applyAlignment="1">
      <alignment horizontal="center"/>
    </xf>
    <xf numFmtId="0" fontId="0" fillId="0" borderId="6" xfId="0" applyBorder="1" applyAlignment="1"/>
    <xf numFmtId="0" fontId="0" fillId="0" borderId="8" xfId="0" applyBorder="1" applyAlignment="1"/>
    <xf numFmtId="0" fontId="0" fillId="0" borderId="0" xfId="0" applyBorder="1" applyAlignment="1"/>
    <xf numFmtId="1" fontId="0" fillId="0" borderId="5" xfId="0" applyNumberFormat="1" applyBorder="1"/>
    <xf numFmtId="1" fontId="0" fillId="0" borderId="0" xfId="0" applyNumberFormat="1" applyBorder="1"/>
    <xf numFmtId="1" fontId="0" fillId="0" borderId="9" xfId="0" applyNumberFormat="1" applyBorder="1"/>
    <xf numFmtId="0" fontId="0" fillId="5" borderId="0" xfId="0" applyFill="1"/>
    <xf numFmtId="0" fontId="0" fillId="4" borderId="0" xfId="0" applyFill="1"/>
    <xf numFmtId="0" fontId="0" fillId="10" borderId="0" xfId="0" applyFill="1"/>
    <xf numFmtId="0" fontId="0" fillId="7" borderId="0" xfId="0" applyFill="1"/>
    <xf numFmtId="0" fontId="0" fillId="11" borderId="0" xfId="0" applyFill="1"/>
    <xf numFmtId="0" fontId="0" fillId="11" borderId="15" xfId="0" applyFill="1" applyBorder="1"/>
    <xf numFmtId="0" fontId="0" fillId="11" borderId="17" xfId="0" applyFill="1" applyBorder="1"/>
    <xf numFmtId="0" fontId="0" fillId="11" borderId="6" xfId="0" applyFill="1" applyBorder="1"/>
    <xf numFmtId="0" fontId="0" fillId="11" borderId="7" xfId="0" applyFill="1" applyBorder="1"/>
    <xf numFmtId="0" fontId="0" fillId="11" borderId="8" xfId="0" applyFill="1" applyBorder="1"/>
    <xf numFmtId="0" fontId="0" fillId="11" borderId="5" xfId="0" applyFill="1" applyBorder="1"/>
    <xf numFmtId="0" fontId="0" fillId="11" borderId="0" xfId="0" applyFill="1" applyBorder="1"/>
    <xf numFmtId="0" fontId="0" fillId="11" borderId="9" xfId="0" applyFill="1" applyBorder="1"/>
    <xf numFmtId="0" fontId="0" fillId="11" borderId="10" xfId="0" applyFill="1" applyBorder="1"/>
    <xf numFmtId="0" fontId="0" fillId="11" borderId="1" xfId="0" applyFill="1" applyBorder="1"/>
    <xf numFmtId="0" fontId="0" fillId="11" borderId="11" xfId="0" applyFill="1" applyBorder="1"/>
    <xf numFmtId="2" fontId="0" fillId="0" borderId="0" xfId="0" applyNumberFormat="1" applyFill="1" applyBorder="1"/>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3" borderId="20" xfId="0" applyFill="1" applyBorder="1" applyAlignment="1">
      <alignment horizontal="center"/>
    </xf>
    <xf numFmtId="0" fontId="0" fillId="3" borderId="21" xfId="0" applyFill="1" applyBorder="1" applyAlignment="1">
      <alignment horizontal="center"/>
    </xf>
    <xf numFmtId="0" fontId="0" fillId="3" borderId="22" xfId="0"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2" borderId="1" xfId="0" applyFill="1" applyBorder="1" applyAlignment="1">
      <alignment horizontal="center"/>
    </xf>
    <xf numFmtId="0" fontId="0" fillId="4" borderId="1" xfId="0" applyFill="1" applyBorder="1" applyAlignment="1">
      <alignment horizontal="center"/>
    </xf>
    <xf numFmtId="0" fontId="0" fillId="9" borderId="1" xfId="0" applyFill="1" applyBorder="1" applyAlignment="1">
      <alignment horizontal="center"/>
    </xf>
    <xf numFmtId="0" fontId="0" fillId="8" borderId="1" xfId="0" applyFill="1" applyBorder="1" applyAlignment="1">
      <alignment horizontal="center"/>
    </xf>
    <xf numFmtId="0" fontId="0" fillId="6" borderId="2" xfId="0" applyFill="1" applyBorder="1" applyAlignment="1">
      <alignment horizontal="center"/>
    </xf>
    <xf numFmtId="0" fontId="0" fillId="6" borderId="3" xfId="0" applyFill="1" applyBorder="1" applyAlignment="1">
      <alignment horizontal="center"/>
    </xf>
    <xf numFmtId="0" fontId="0" fillId="6" borderId="4"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5.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1'!$A$4:$A$8</c:f>
              <c:numCache>
                <c:formatCode>General</c:formatCode>
                <c:ptCount val="5"/>
                <c:pt idx="0">
                  <c:v>0</c:v>
                </c:pt>
                <c:pt idx="1">
                  <c:v>1</c:v>
                </c:pt>
                <c:pt idx="2">
                  <c:v>2</c:v>
                </c:pt>
                <c:pt idx="3">
                  <c:v>3</c:v>
                </c:pt>
                <c:pt idx="4">
                  <c:v>4</c:v>
                </c:pt>
              </c:numCache>
            </c:numRef>
          </c:xVal>
          <c:yVal>
            <c:numRef>
              <c:f>'Sample 1'!$M$4:$M$7</c:f>
              <c:numCache>
                <c:formatCode>0.00</c:formatCode>
                <c:ptCount val="4"/>
                <c:pt idx="0" formatCode="General">
                  <c:v>0</c:v>
                </c:pt>
                <c:pt idx="1">
                  <c:v>2.9825066317282567</c:v>
                </c:pt>
                <c:pt idx="2">
                  <c:v>4.8356551251599287</c:v>
                </c:pt>
                <c:pt idx="3">
                  <c:v>6.0269020755042417</c:v>
                </c:pt>
              </c:numCache>
            </c:numRef>
          </c:yVal>
          <c:smooth val="0"/>
          <c:extLst>
            <c:ext xmlns:c16="http://schemas.microsoft.com/office/drawing/2014/chart" uri="{C3380CC4-5D6E-409C-BE32-E72D297353CC}">
              <c16:uniqueId val="{00000000-056C-4018-9BF3-C4DC9E14ED2B}"/>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1'!$A$4:$A$14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 1'!$N$4:$N$14</c:f>
              <c:numCache>
                <c:formatCode>0.00</c:formatCode>
                <c:ptCount val="11"/>
                <c:pt idx="0" formatCode="General">
                  <c:v>0</c:v>
                </c:pt>
                <c:pt idx="1">
                  <c:v>0.31108924070514693</c:v>
                </c:pt>
                <c:pt idx="2">
                  <c:v>0.71295210910504259</c:v>
                </c:pt>
                <c:pt idx="3">
                  <c:v>1.1663296046725837</c:v>
                </c:pt>
                <c:pt idx="4">
                  <c:v>1.6190366366555033</c:v>
                </c:pt>
                <c:pt idx="5">
                  <c:v>2.0425702951245612</c:v>
                </c:pt>
                <c:pt idx="6">
                  <c:v>2.4533127022292738</c:v>
                </c:pt>
                <c:pt idx="7">
                  <c:v>2.8636396137770936</c:v>
                </c:pt>
                <c:pt idx="8">
                  <c:v>3.2844637039916087</c:v>
                </c:pt>
                <c:pt idx="9">
                  <c:v>3.7086576998067287</c:v>
                </c:pt>
                <c:pt idx="10">
                  <c:v>4.1144186370920934</c:v>
                </c:pt>
              </c:numCache>
            </c:numRef>
          </c:yVal>
          <c:smooth val="0"/>
          <c:extLst>
            <c:ext xmlns:c16="http://schemas.microsoft.com/office/drawing/2014/chart" uri="{C3380CC4-5D6E-409C-BE32-E72D297353CC}">
              <c16:uniqueId val="{00000001-056C-4018-9BF3-C4DC9E14ED2B}"/>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1'!$A$4:$A$14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 1'!$O$4:$O$14</c:f>
              <c:numCache>
                <c:formatCode>0.00</c:formatCode>
                <c:ptCount val="11"/>
                <c:pt idx="0" formatCode="General">
                  <c:v>0</c:v>
                </c:pt>
                <c:pt idx="1">
                  <c:v>0.1468524784106352</c:v>
                </c:pt>
                <c:pt idx="2">
                  <c:v>0.2846193127608635</c:v>
                </c:pt>
                <c:pt idx="3">
                  <c:v>0.43384736835395593</c:v>
                </c:pt>
                <c:pt idx="4">
                  <c:v>0.60076774050437654</c:v>
                </c:pt>
                <c:pt idx="5">
                  <c:v>0.80483398103552461</c:v>
                </c:pt>
                <c:pt idx="6">
                  <c:v>0.98409761274021113</c:v>
                </c:pt>
                <c:pt idx="7">
                  <c:v>1.1906145234531764</c:v>
                </c:pt>
                <c:pt idx="8">
                  <c:v>1.383707241329196</c:v>
                </c:pt>
                <c:pt idx="9">
                  <c:v>1.6117474292911651</c:v>
                </c:pt>
                <c:pt idx="10">
                  <c:v>1.8063452544192224</c:v>
                </c:pt>
              </c:numCache>
            </c:numRef>
          </c:yVal>
          <c:smooth val="0"/>
          <c:extLst>
            <c:ext xmlns:c16="http://schemas.microsoft.com/office/drawing/2014/chart" uri="{C3380CC4-5D6E-409C-BE32-E72D297353CC}">
              <c16:uniqueId val="{00000002-056C-4018-9BF3-C4DC9E14ED2B}"/>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3707611548556425"/>
                  <c:y val="-4.0958742756519803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1'!$A$7:$A$14</c:f>
              <c:numCache>
                <c:formatCode>General</c:formatCode>
                <c:ptCount val="8"/>
                <c:pt idx="0">
                  <c:v>3</c:v>
                </c:pt>
                <c:pt idx="1">
                  <c:v>4</c:v>
                </c:pt>
                <c:pt idx="2">
                  <c:v>5</c:v>
                </c:pt>
                <c:pt idx="3">
                  <c:v>6</c:v>
                </c:pt>
                <c:pt idx="4">
                  <c:v>7</c:v>
                </c:pt>
                <c:pt idx="5">
                  <c:v>8</c:v>
                </c:pt>
                <c:pt idx="6">
                  <c:v>9</c:v>
                </c:pt>
                <c:pt idx="7">
                  <c:v>10</c:v>
                </c:pt>
              </c:numCache>
            </c:numRef>
          </c:xVal>
          <c:yVal>
            <c:numRef>
              <c:f>'Sample 1'!$M$7:$M$14</c:f>
              <c:numCache>
                <c:formatCode>0.00</c:formatCode>
                <c:ptCount val="8"/>
                <c:pt idx="0">
                  <c:v>6.0269020755042417</c:v>
                </c:pt>
                <c:pt idx="1">
                  <c:v>6.8820133802988765</c:v>
                </c:pt>
                <c:pt idx="2">
                  <c:v>7.5115449644205894</c:v>
                </c:pt>
                <c:pt idx="3">
                  <c:v>8.0299187535905059</c:v>
                </c:pt>
                <c:pt idx="4">
                  <c:v>8.6342783052760286</c:v>
                </c:pt>
                <c:pt idx="5">
                  <c:v>9.246699196545288</c:v>
                </c:pt>
                <c:pt idx="6">
                  <c:v>9.9749662139604318</c:v>
                </c:pt>
                <c:pt idx="7">
                  <c:v>10.708046332264997</c:v>
                </c:pt>
              </c:numCache>
            </c:numRef>
          </c:yVal>
          <c:smooth val="0"/>
          <c:extLst>
            <c:ext xmlns:c16="http://schemas.microsoft.com/office/drawing/2014/chart" uri="{C3380CC4-5D6E-409C-BE32-E72D297353CC}">
              <c16:uniqueId val="{00000004-056C-4018-9BF3-C4DC9E14ED2B}"/>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intercept val="0"/>
            <c:dispRSqr val="1"/>
            <c:dispEq val="1"/>
            <c:trendlineLbl>
              <c:layout>
                <c:manualLayout>
                  <c:x val="4.2828083989501315E-3"/>
                  <c:y val="-0.1202271070282881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2'!$B$4:$B$19</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'Sample 2'!$M$4:$M$19</c:f>
              <c:numCache>
                <c:formatCode>0.00</c:formatCode>
                <c:ptCount val="16"/>
                <c:pt idx="0" formatCode="General">
                  <c:v>0</c:v>
                </c:pt>
                <c:pt idx="1">
                  <c:v>0.88424606186784616</c:v>
                </c:pt>
                <c:pt idx="2">
                  <c:v>1.5397301597862838</c:v>
                </c:pt>
                <c:pt idx="3">
                  <c:v>2.0475262673245185</c:v>
                </c:pt>
                <c:pt idx="4">
                  <c:v>2.4638753099080333</c:v>
                </c:pt>
                <c:pt idx="5">
                  <c:v>2.8140823587675516</c:v>
                </c:pt>
                <c:pt idx="6">
                  <c:v>3.0492213772875139</c:v>
                </c:pt>
                <c:pt idx="7">
                  <c:v>3.3252764784947817</c:v>
                </c:pt>
                <c:pt idx="8">
                  <c:v>3.5913141635467727</c:v>
                </c:pt>
                <c:pt idx="9">
                  <c:v>3.8866715085032819</c:v>
                </c:pt>
                <c:pt idx="10">
                  <c:v>4.1987960402635665</c:v>
                </c:pt>
                <c:pt idx="11">
                  <c:v>4.5408433478179449</c:v>
                </c:pt>
                <c:pt idx="12">
                  <c:v>5.3854669405824964</c:v>
                </c:pt>
                <c:pt idx="13">
                  <c:v>5.3854669405824964</c:v>
                </c:pt>
                <c:pt idx="14">
                  <c:v>5.6951823554540875</c:v>
                </c:pt>
                <c:pt idx="15">
                  <c:v>6.1453709885606154</c:v>
                </c:pt>
              </c:numCache>
            </c:numRef>
          </c:yVal>
          <c:smooth val="0"/>
          <c:extLst>
            <c:ext xmlns:c16="http://schemas.microsoft.com/office/drawing/2014/chart" uri="{C3380CC4-5D6E-409C-BE32-E72D297353CC}">
              <c16:uniqueId val="{00000000-0FB1-4D9F-81C1-B5985ADEC6D8}"/>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0"/>
          </c:trendline>
          <c:trendline>
            <c:spPr>
              <a:ln w="19050" cap="rnd">
                <a:solidFill>
                  <a:schemeClr val="accent2"/>
                </a:solidFill>
                <a:prstDash val="sysDot"/>
              </a:ln>
              <a:effectLst/>
            </c:spPr>
            <c:trendlineType val="poly"/>
            <c:order val="2"/>
            <c:intercept val="0"/>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2'!$B$4:$B$19</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'Sample 2'!$N$4:$N$19</c:f>
              <c:numCache>
                <c:formatCode>0.00</c:formatCode>
                <c:ptCount val="16"/>
                <c:pt idx="0" formatCode="General">
                  <c:v>0</c:v>
                </c:pt>
                <c:pt idx="1">
                  <c:v>0.22794275024161259</c:v>
                </c:pt>
                <c:pt idx="2">
                  <c:v>0.45118443945878783</c:v>
                </c:pt>
                <c:pt idx="3">
                  <c:v>0.68627416747204206</c:v>
                </c:pt>
                <c:pt idx="4">
                  <c:v>0.89591190321689917</c:v>
                </c:pt>
                <c:pt idx="5">
                  <c:v>1.1079771110037278</c:v>
                </c:pt>
                <c:pt idx="6">
                  <c:v>1.2484811148695292</c:v>
                </c:pt>
                <c:pt idx="7">
                  <c:v>1.4466435862211791</c:v>
                </c:pt>
                <c:pt idx="8">
                  <c:v>1.6315615898108518</c:v>
                </c:pt>
                <c:pt idx="9">
                  <c:v>1.8305615677205576</c:v>
                </c:pt>
                <c:pt idx="10">
                  <c:v>2.0065782735054531</c:v>
                </c:pt>
                <c:pt idx="11">
                  <c:v>2.2598335533627387</c:v>
                </c:pt>
                <c:pt idx="12">
                  <c:v>2.7798412959327488</c:v>
                </c:pt>
                <c:pt idx="13">
                  <c:v>2.7798412959327488</c:v>
                </c:pt>
                <c:pt idx="14">
                  <c:v>2.9982811680757142</c:v>
                </c:pt>
                <c:pt idx="15">
                  <c:v>3.2674852266472101</c:v>
                </c:pt>
              </c:numCache>
            </c:numRef>
          </c:yVal>
          <c:smooth val="0"/>
          <c:extLst>
            <c:ext xmlns:c16="http://schemas.microsoft.com/office/drawing/2014/chart" uri="{C3380CC4-5D6E-409C-BE32-E72D297353CC}">
              <c16:uniqueId val="{00000001-0FB1-4D9F-81C1-B5985ADEC6D8}"/>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0"/>
            <c:dispEq val="0"/>
          </c:trendline>
          <c:trendline>
            <c:spPr>
              <a:ln w="19050" cap="rnd">
                <a:solidFill>
                  <a:schemeClr val="accent3"/>
                </a:solidFill>
                <a:prstDash val="sysDot"/>
              </a:ln>
              <a:effectLst/>
            </c:spPr>
            <c:trendlineType val="poly"/>
            <c:order val="2"/>
            <c:intercept val="0"/>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2'!$B$4:$B$19</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'Sample 2'!$O$4:$O$19</c:f>
              <c:numCache>
                <c:formatCode>0.00</c:formatCode>
                <c:ptCount val="16"/>
                <c:pt idx="0" formatCode="General">
                  <c:v>0</c:v>
                </c:pt>
                <c:pt idx="1">
                  <c:v>0.12333698075772755</c:v>
                </c:pt>
                <c:pt idx="2">
                  <c:v>0.23161203423583537</c:v>
                </c:pt>
                <c:pt idx="3">
                  <c:v>0.33278945158169659</c:v>
                </c:pt>
                <c:pt idx="4">
                  <c:v>0.42017954957771375</c:v>
                </c:pt>
                <c:pt idx="5">
                  <c:v>0.51534661740198551</c:v>
                </c:pt>
                <c:pt idx="6">
                  <c:v>0.59381289234715351</c:v>
                </c:pt>
                <c:pt idx="7">
                  <c:v>0.68701435994889726</c:v>
                </c:pt>
                <c:pt idx="8">
                  <c:v>0.76716829025135314</c:v>
                </c:pt>
                <c:pt idx="9">
                  <c:v>0.879930825790602</c:v>
                </c:pt>
                <c:pt idx="10">
                  <c:v>0.99271550286652488</c:v>
                </c:pt>
                <c:pt idx="11">
                  <c:v>1.0661654097402995</c:v>
                </c:pt>
                <c:pt idx="12">
                  <c:v>1.257357244598182</c:v>
                </c:pt>
                <c:pt idx="13">
                  <c:v>1.257357244598182</c:v>
                </c:pt>
                <c:pt idx="14">
                  <c:v>1.3454889077731533</c:v>
                </c:pt>
                <c:pt idx="15">
                  <c:v>1.4895778026322239</c:v>
                </c:pt>
              </c:numCache>
            </c:numRef>
          </c:yVal>
          <c:smooth val="0"/>
          <c:extLst>
            <c:ext xmlns:c16="http://schemas.microsoft.com/office/drawing/2014/chart" uri="{C3380CC4-5D6E-409C-BE32-E72D297353CC}">
              <c16:uniqueId val="{00000002-0FB1-4D9F-81C1-B5985ADEC6D8}"/>
            </c:ext>
          </c:extLst>
        </c:ser>
        <c:dLbls>
          <c:showLegendKey val="0"/>
          <c:showVal val="0"/>
          <c:showCatName val="0"/>
          <c:showSerName val="0"/>
          <c:showPercent val="0"/>
          <c:showBubbleSize val="0"/>
        </c:dLbls>
        <c:axId val="954381935"/>
        <c:axId val="954389423"/>
      </c:scatterChart>
      <c:valAx>
        <c:axId val="9543819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4389423"/>
        <c:crosses val="autoZero"/>
        <c:crossBetween val="midCat"/>
      </c:valAx>
      <c:valAx>
        <c:axId val="9543894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438193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'Sampe 3'!$A$4:$A$8</c:f>
              <c:numCache>
                <c:formatCode>General</c:formatCode>
                <c:ptCount val="5"/>
                <c:pt idx="0">
                  <c:v>0</c:v>
                </c:pt>
                <c:pt idx="1">
                  <c:v>1</c:v>
                </c:pt>
                <c:pt idx="2">
                  <c:v>2</c:v>
                </c:pt>
                <c:pt idx="3">
                  <c:v>3</c:v>
                </c:pt>
                <c:pt idx="4">
                  <c:v>4</c:v>
                </c:pt>
              </c:numCache>
            </c:numRef>
          </c:xVal>
          <c:yVal>
            <c:numRef>
              <c:f>'Sampe 3'!$M$4:$M$7</c:f>
              <c:numCache>
                <c:formatCode>0.00</c:formatCode>
                <c:ptCount val="4"/>
                <c:pt idx="0" formatCode="General">
                  <c:v>0</c:v>
                </c:pt>
                <c:pt idx="1">
                  <c:v>1.4913867858502321</c:v>
                </c:pt>
                <c:pt idx="2">
                  <c:v>2.7194045001885359</c:v>
                </c:pt>
                <c:pt idx="3">
                  <c:v>3.869320903514434</c:v>
                </c:pt>
              </c:numCache>
            </c:numRef>
          </c:yVal>
          <c:smooth val="0"/>
          <c:extLst>
            <c:ext xmlns:c16="http://schemas.microsoft.com/office/drawing/2014/chart" uri="{C3380CC4-5D6E-409C-BE32-E72D297353CC}">
              <c16:uniqueId val="{00000000-064E-4DC2-B1D5-C2F4A5AF3374}"/>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'Sampe 3'!$N$4:$N$14</c:f>
              <c:numCache>
                <c:formatCode>0.00</c:formatCode>
                <c:ptCount val="11"/>
                <c:pt idx="0" formatCode="General">
                  <c:v>0</c:v>
                </c:pt>
                <c:pt idx="1">
                  <c:v>0.24541429794284136</c:v>
                </c:pt>
                <c:pt idx="2">
                  <c:v>0.50830104721800362</c:v>
                </c:pt>
                <c:pt idx="3">
                  <c:v>0.75224635993372913</c:v>
                </c:pt>
                <c:pt idx="4">
                  <c:v>1.0119441950849095</c:v>
                </c:pt>
                <c:pt idx="5">
                  <c:v>1.1794814393207234</c:v>
                </c:pt>
                <c:pt idx="6">
                  <c:v>1.4212956709926825</c:v>
                </c:pt>
                <c:pt idx="7">
                  <c:v>1.6624540791108655</c:v>
                </c:pt>
                <c:pt idx="8">
                  <c:v>1.8876604217865522</c:v>
                </c:pt>
                <c:pt idx="9">
                  <c:v>2.0866603996962581</c:v>
                </c:pt>
                <c:pt idx="10">
                  <c:v>2.2626983673892029</c:v>
                </c:pt>
              </c:numCache>
            </c:numRef>
          </c:yVal>
          <c:smooth val="0"/>
          <c:extLst>
            <c:ext xmlns:c16="http://schemas.microsoft.com/office/drawing/2014/chart" uri="{C3380CC4-5D6E-409C-BE32-E72D297353CC}">
              <c16:uniqueId val="{00000001-064E-4DC2-B1D5-C2F4A5AF3374}"/>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'Sampe 3'!$O$4:$O$14</c:f>
              <c:numCache>
                <c:formatCode>0.00</c:formatCode>
                <c:ptCount val="11"/>
                <c:pt idx="0" formatCode="General">
                  <c:v>0</c:v>
                </c:pt>
                <c:pt idx="1">
                  <c:v>0.10096619100484686</c:v>
                </c:pt>
                <c:pt idx="2">
                  <c:v>0.238712903424322</c:v>
                </c:pt>
                <c:pt idx="3">
                  <c:v>0.31515763647686962</c:v>
                </c:pt>
                <c:pt idx="4">
                  <c:v>0.4247649050686661</c:v>
                </c:pt>
                <c:pt idx="5">
                  <c:v>0.52661440622684563</c:v>
                </c:pt>
                <c:pt idx="6">
                  <c:v>0.64469208622467944</c:v>
                </c:pt>
                <c:pt idx="7">
                  <c:v>0.76502986847708621</c:v>
                </c:pt>
                <c:pt idx="8">
                  <c:v>0.84533898547906283</c:v>
                </c:pt>
                <c:pt idx="9">
                  <c:v>0.9581015210183117</c:v>
                </c:pt>
                <c:pt idx="10">
                  <c:v>1.0708861980942346</c:v>
                </c:pt>
              </c:numCache>
            </c:numRef>
          </c:yVal>
          <c:smooth val="0"/>
          <c:extLst>
            <c:ext xmlns:c16="http://schemas.microsoft.com/office/drawing/2014/chart" uri="{C3380CC4-5D6E-409C-BE32-E72D297353CC}">
              <c16:uniqueId val="{00000002-064E-4DC2-B1D5-C2F4A5AF3374}"/>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3707611548556425"/>
                  <c:y val="-4.0958742756519803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'Sampe 3'!$A$7:$A$14</c:f>
              <c:numCache>
                <c:formatCode>General</c:formatCode>
                <c:ptCount val="8"/>
                <c:pt idx="0">
                  <c:v>3</c:v>
                </c:pt>
                <c:pt idx="1">
                  <c:v>4</c:v>
                </c:pt>
                <c:pt idx="2">
                  <c:v>5</c:v>
                </c:pt>
                <c:pt idx="3">
                  <c:v>6</c:v>
                </c:pt>
                <c:pt idx="4">
                  <c:v>7</c:v>
                </c:pt>
                <c:pt idx="5">
                  <c:v>8</c:v>
                </c:pt>
                <c:pt idx="6">
                  <c:v>9</c:v>
                </c:pt>
                <c:pt idx="7">
                  <c:v>10</c:v>
                </c:pt>
              </c:numCache>
            </c:numRef>
          </c:xVal>
          <c:yVal>
            <c:numRef>
              <c:f>'Sampe 3'!$M$7:$M$14</c:f>
              <c:numCache>
                <c:formatCode>0.00</c:formatCode>
                <c:ptCount val="8"/>
                <c:pt idx="0">
                  <c:v>3.869320903514434</c:v>
                </c:pt>
                <c:pt idx="1">
                  <c:v>4.7944038878755535</c:v>
                </c:pt>
                <c:pt idx="2">
                  <c:v>5.5623420508292378</c:v>
                </c:pt>
                <c:pt idx="3">
                  <c:v>6.2286662265164345</c:v>
                </c:pt>
                <c:pt idx="4">
                  <c:v>6.9209455439991308</c:v>
                </c:pt>
                <c:pt idx="5">
                  <c:v>7.4851661648147552</c:v>
                </c:pt>
                <c:pt idx="6">
                  <c:v>7.7805235097712639</c:v>
                </c:pt>
                <c:pt idx="7">
                  <c:v>8.0926480415315485</c:v>
                </c:pt>
              </c:numCache>
            </c:numRef>
          </c:yVal>
          <c:smooth val="0"/>
          <c:extLst>
            <c:ext xmlns:c16="http://schemas.microsoft.com/office/drawing/2014/chart" uri="{C3380CC4-5D6E-409C-BE32-E72D297353CC}">
              <c16:uniqueId val="{00000003-064E-4DC2-B1D5-C2F4A5AF3374}"/>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 in </a:t>
            </a:r>
          </a:p>
        </c:rich>
      </c:tx>
      <c:layout>
        <c:manualLayout>
          <c:xMode val="edge"/>
          <c:yMode val="edge"/>
          <c:x val="0.10367344706911637"/>
          <c:y val="2.745098180489845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512029746281714E-2"/>
                  <c:y val="-6.2328561202576953E-2"/>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3'!$B$4:$B$8</c:f>
              <c:numCache>
                <c:formatCode>General</c:formatCode>
                <c:ptCount val="5"/>
                <c:pt idx="0">
                  <c:v>0</c:v>
                </c:pt>
                <c:pt idx="1">
                  <c:v>5</c:v>
                </c:pt>
                <c:pt idx="2">
                  <c:v>10</c:v>
                </c:pt>
                <c:pt idx="3">
                  <c:v>15</c:v>
                </c:pt>
                <c:pt idx="4">
                  <c:v>20</c:v>
                </c:pt>
              </c:numCache>
            </c:numRef>
          </c:xVal>
          <c:yVal>
            <c:numRef>
              <c:f>'Sampe 3'!$M$4:$M$7</c:f>
              <c:numCache>
                <c:formatCode>0.00</c:formatCode>
                <c:ptCount val="4"/>
                <c:pt idx="0" formatCode="General">
                  <c:v>0</c:v>
                </c:pt>
                <c:pt idx="1">
                  <c:v>1.4913867858502321</c:v>
                </c:pt>
                <c:pt idx="2">
                  <c:v>2.7194045001885359</c:v>
                </c:pt>
                <c:pt idx="3">
                  <c:v>3.869320903514434</c:v>
                </c:pt>
              </c:numCache>
            </c:numRef>
          </c:yVal>
          <c:smooth val="0"/>
          <c:extLst>
            <c:ext xmlns:c16="http://schemas.microsoft.com/office/drawing/2014/chart" uri="{C3380CC4-5D6E-409C-BE32-E72D297353CC}">
              <c16:uniqueId val="{00000000-67D9-4BB9-B68B-7FA11247070D}"/>
            </c:ext>
          </c:extLst>
        </c:ser>
        <c:ser>
          <c:idx val="1"/>
          <c:order val="1"/>
          <c:tx>
            <c:v>DNAN</c:v>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'Sampe 3'!$N$4:$N$14</c:f>
              <c:numCache>
                <c:formatCode>0.00</c:formatCode>
                <c:ptCount val="11"/>
                <c:pt idx="0" formatCode="General">
                  <c:v>0</c:v>
                </c:pt>
                <c:pt idx="1">
                  <c:v>0.24541429794284136</c:v>
                </c:pt>
                <c:pt idx="2">
                  <c:v>0.50830104721800362</c:v>
                </c:pt>
                <c:pt idx="3">
                  <c:v>0.75224635993372913</c:v>
                </c:pt>
                <c:pt idx="4">
                  <c:v>1.0119441950849095</c:v>
                </c:pt>
                <c:pt idx="5">
                  <c:v>1.1794814393207234</c:v>
                </c:pt>
                <c:pt idx="6">
                  <c:v>1.4212956709926825</c:v>
                </c:pt>
                <c:pt idx="7">
                  <c:v>1.6624540791108655</c:v>
                </c:pt>
                <c:pt idx="8">
                  <c:v>1.8876604217865522</c:v>
                </c:pt>
                <c:pt idx="9">
                  <c:v>2.0866603996962581</c:v>
                </c:pt>
                <c:pt idx="10">
                  <c:v>2.2626983673892029</c:v>
                </c:pt>
              </c:numCache>
            </c:numRef>
          </c:yVal>
          <c:smooth val="0"/>
          <c:extLst>
            <c:ext xmlns:c16="http://schemas.microsoft.com/office/drawing/2014/chart" uri="{C3380CC4-5D6E-409C-BE32-E72D297353CC}">
              <c16:uniqueId val="{00000001-67D9-4BB9-B68B-7FA11247070D}"/>
            </c:ext>
          </c:extLst>
        </c:ser>
        <c:ser>
          <c:idx val="2"/>
          <c:order val="2"/>
          <c:tx>
            <c:v>RDX</c:v>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'Sampe 3'!$O$4:$O$14</c:f>
              <c:numCache>
                <c:formatCode>0.00</c:formatCode>
                <c:ptCount val="11"/>
                <c:pt idx="0" formatCode="General">
                  <c:v>0</c:v>
                </c:pt>
                <c:pt idx="1">
                  <c:v>0.10096619100484686</c:v>
                </c:pt>
                <c:pt idx="2">
                  <c:v>0.238712903424322</c:v>
                </c:pt>
                <c:pt idx="3">
                  <c:v>0.31515763647686962</c:v>
                </c:pt>
                <c:pt idx="4">
                  <c:v>0.4247649050686661</c:v>
                </c:pt>
                <c:pt idx="5">
                  <c:v>0.52661440622684563</c:v>
                </c:pt>
                <c:pt idx="6">
                  <c:v>0.64469208622467944</c:v>
                </c:pt>
                <c:pt idx="7">
                  <c:v>0.76502986847708621</c:v>
                </c:pt>
                <c:pt idx="8">
                  <c:v>0.84533898547906283</c:v>
                </c:pt>
                <c:pt idx="9">
                  <c:v>0.9581015210183117</c:v>
                </c:pt>
                <c:pt idx="10">
                  <c:v>1.0708861980942346</c:v>
                </c:pt>
              </c:numCache>
            </c:numRef>
          </c:yVal>
          <c:smooth val="0"/>
          <c:extLst>
            <c:ext xmlns:c16="http://schemas.microsoft.com/office/drawing/2014/chart" uri="{C3380CC4-5D6E-409C-BE32-E72D297353CC}">
              <c16:uniqueId val="{00000002-67D9-4BB9-B68B-7FA11247070D}"/>
            </c:ext>
          </c:extLst>
        </c:ser>
        <c:ser>
          <c:idx val="3"/>
          <c:order val="3"/>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9.0520559930008751E-2"/>
                  <c:y val="-5.9888891971020118E-2"/>
                </c:manualLayout>
              </c:layout>
              <c:numFmt formatCode="General" sourceLinked="0"/>
              <c:spPr>
                <a:solidFill>
                  <a:schemeClr val="lt1"/>
                </a:solidFill>
                <a:ln w="12700" cap="flat" cmpd="sng" algn="ctr">
                  <a:solidFill>
                    <a:schemeClr val="accent5"/>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3'!$B$7:$B$14</c:f>
              <c:numCache>
                <c:formatCode>General</c:formatCode>
                <c:ptCount val="8"/>
                <c:pt idx="0">
                  <c:v>15</c:v>
                </c:pt>
                <c:pt idx="1">
                  <c:v>20</c:v>
                </c:pt>
                <c:pt idx="2">
                  <c:v>25</c:v>
                </c:pt>
                <c:pt idx="3">
                  <c:v>30</c:v>
                </c:pt>
                <c:pt idx="4">
                  <c:v>35</c:v>
                </c:pt>
                <c:pt idx="5">
                  <c:v>40</c:v>
                </c:pt>
                <c:pt idx="6">
                  <c:v>45</c:v>
                </c:pt>
                <c:pt idx="7">
                  <c:v>50</c:v>
                </c:pt>
              </c:numCache>
            </c:numRef>
          </c:xVal>
          <c:yVal>
            <c:numRef>
              <c:f>'Sampe 3'!$M$7:$M$14</c:f>
              <c:numCache>
                <c:formatCode>0.00</c:formatCode>
                <c:ptCount val="8"/>
                <c:pt idx="0">
                  <c:v>3.869320903514434</c:v>
                </c:pt>
                <c:pt idx="1">
                  <c:v>4.7944038878755535</c:v>
                </c:pt>
                <c:pt idx="2">
                  <c:v>5.5623420508292378</c:v>
                </c:pt>
                <c:pt idx="3">
                  <c:v>6.2286662265164345</c:v>
                </c:pt>
                <c:pt idx="4">
                  <c:v>6.9209455439991308</c:v>
                </c:pt>
                <c:pt idx="5">
                  <c:v>7.4851661648147552</c:v>
                </c:pt>
                <c:pt idx="6">
                  <c:v>7.7805235097712639</c:v>
                </c:pt>
                <c:pt idx="7">
                  <c:v>8.0926480415315485</c:v>
                </c:pt>
              </c:numCache>
            </c:numRef>
          </c:yVal>
          <c:smooth val="0"/>
          <c:extLst>
            <c:ext xmlns:c16="http://schemas.microsoft.com/office/drawing/2014/chart" uri="{C3380CC4-5D6E-409C-BE32-E72D297353CC}">
              <c16:uniqueId val="{00000003-67D9-4BB9-B68B-7FA11247070D}"/>
            </c:ext>
          </c:extLst>
        </c:ser>
        <c:ser>
          <c:idx val="4"/>
          <c:order val="4"/>
          <c:tx>
            <c:v>NTO3</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'Sampe 3'!$B$14:$B$19</c:f>
              <c:numCache>
                <c:formatCode>General</c:formatCode>
                <c:ptCount val="6"/>
                <c:pt idx="0">
                  <c:v>50</c:v>
                </c:pt>
                <c:pt idx="1">
                  <c:v>60</c:v>
                </c:pt>
                <c:pt idx="2">
                  <c:v>70</c:v>
                </c:pt>
                <c:pt idx="3">
                  <c:v>80</c:v>
                </c:pt>
                <c:pt idx="4">
                  <c:v>90</c:v>
                </c:pt>
                <c:pt idx="5">
                  <c:v>100</c:v>
                </c:pt>
              </c:numCache>
            </c:numRef>
          </c:xVal>
          <c:yVal>
            <c:numRef>
              <c:f>'Sampe 3'!$M$14:$M$19</c:f>
              <c:numCache>
                <c:formatCode>0.00</c:formatCode>
                <c:ptCount val="6"/>
                <c:pt idx="0">
                  <c:v>8.0926480415315485</c:v>
                </c:pt>
                <c:pt idx="1">
                  <c:v>8.3813741041603524</c:v>
                </c:pt>
                <c:pt idx="2">
                  <c:v>8.9405500429947047</c:v>
                </c:pt>
                <c:pt idx="3">
                  <c:v>10.217433706813159</c:v>
                </c:pt>
                <c:pt idx="4">
                  <c:v>11.022603346618645</c:v>
                </c:pt>
                <c:pt idx="5">
                  <c:v>12.748078361374523</c:v>
                </c:pt>
              </c:numCache>
            </c:numRef>
          </c:yVal>
          <c:smooth val="0"/>
          <c:extLst>
            <c:ext xmlns:c16="http://schemas.microsoft.com/office/drawing/2014/chart" uri="{C3380CC4-5D6E-409C-BE32-E72D297353CC}">
              <c16:uniqueId val="{00000000-E441-46D1-8CCF-EAA066418014}"/>
            </c:ext>
          </c:extLst>
        </c:ser>
        <c:ser>
          <c:idx val="5"/>
          <c:order val="5"/>
          <c:tx>
            <c:v>DNAN2</c:v>
          </c:tx>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0"/>
            <c:dispEq val="0"/>
          </c:trendline>
          <c:xVal>
            <c:numRef>
              <c:f>'Sampe 3'!$B$14:$B$19</c:f>
              <c:numCache>
                <c:formatCode>General</c:formatCode>
                <c:ptCount val="6"/>
                <c:pt idx="0">
                  <c:v>50</c:v>
                </c:pt>
                <c:pt idx="1">
                  <c:v>60</c:v>
                </c:pt>
                <c:pt idx="2">
                  <c:v>70</c:v>
                </c:pt>
                <c:pt idx="3">
                  <c:v>80</c:v>
                </c:pt>
                <c:pt idx="4">
                  <c:v>90</c:v>
                </c:pt>
                <c:pt idx="5">
                  <c:v>100</c:v>
                </c:pt>
              </c:numCache>
            </c:numRef>
          </c:xVal>
          <c:yVal>
            <c:numRef>
              <c:f>'Sampe 3'!$N$14:$N$19</c:f>
              <c:numCache>
                <c:formatCode>0.00</c:formatCode>
                <c:ptCount val="6"/>
                <c:pt idx="0">
                  <c:v>2.2626983673892029</c:v>
                </c:pt>
                <c:pt idx="1">
                  <c:v>2.7505064353564119</c:v>
                </c:pt>
                <c:pt idx="2">
                  <c:v>3.1931669498188002</c:v>
                </c:pt>
                <c:pt idx="3">
                  <c:v>3.8056670152121281</c:v>
                </c:pt>
                <c:pt idx="4">
                  <c:v>4.1173839301118669</c:v>
                </c:pt>
                <c:pt idx="5">
                  <c:v>4.8063314114224536</c:v>
                </c:pt>
              </c:numCache>
            </c:numRef>
          </c:yVal>
          <c:smooth val="0"/>
          <c:extLst>
            <c:ext xmlns:c16="http://schemas.microsoft.com/office/drawing/2014/chart" uri="{C3380CC4-5D6E-409C-BE32-E72D297353CC}">
              <c16:uniqueId val="{00000001-E441-46D1-8CCF-EAA066418014}"/>
            </c:ext>
          </c:extLst>
        </c:ser>
        <c:ser>
          <c:idx val="6"/>
          <c:order val="6"/>
          <c:tx>
            <c:v>RDX</c:v>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linear"/>
            <c:dispRSqr val="0"/>
            <c:dispEq val="0"/>
          </c:trendline>
          <c:xVal>
            <c:numRef>
              <c:f>'Sampe 3'!$B$14:$B$19</c:f>
              <c:numCache>
                <c:formatCode>General</c:formatCode>
                <c:ptCount val="6"/>
                <c:pt idx="0">
                  <c:v>50</c:v>
                </c:pt>
                <c:pt idx="1">
                  <c:v>60</c:v>
                </c:pt>
                <c:pt idx="2">
                  <c:v>70</c:v>
                </c:pt>
                <c:pt idx="3">
                  <c:v>80</c:v>
                </c:pt>
                <c:pt idx="4">
                  <c:v>90</c:v>
                </c:pt>
                <c:pt idx="5">
                  <c:v>100</c:v>
                </c:pt>
              </c:numCache>
            </c:numRef>
          </c:xVal>
          <c:yVal>
            <c:numRef>
              <c:f>'Sampe 3'!$O$14:$O$19</c:f>
              <c:numCache>
                <c:formatCode>0.00</c:formatCode>
                <c:ptCount val="6"/>
                <c:pt idx="0">
                  <c:v>1.0708861980942346</c:v>
                </c:pt>
                <c:pt idx="1">
                  <c:v>1.2414330983213024</c:v>
                </c:pt>
                <c:pt idx="2">
                  <c:v>1.4469776865380579</c:v>
                </c:pt>
                <c:pt idx="3">
                  <c:v>1.7065610080314875</c:v>
                </c:pt>
                <c:pt idx="4">
                  <c:v>1.8573677317191311</c:v>
                </c:pt>
                <c:pt idx="5">
                  <c:v>2.1917205703253115</c:v>
                </c:pt>
              </c:numCache>
            </c:numRef>
          </c:yVal>
          <c:smooth val="0"/>
          <c:extLst>
            <c:ext xmlns:c16="http://schemas.microsoft.com/office/drawing/2014/chart" uri="{C3380CC4-5D6E-409C-BE32-E72D297353CC}">
              <c16:uniqueId val="{00000002-E441-46D1-8CCF-EAA066418014}"/>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 (%)</c:v>
          </c:tx>
          <c:spPr>
            <a:solidFill>
              <a:schemeClr val="accent5">
                <a:lumMod val="20000"/>
                <a:lumOff val="80000"/>
              </a:schemeClr>
            </a:solidFill>
            <a:ln>
              <a:noFill/>
            </a:ln>
            <a:effectLst/>
          </c:spPr>
          <c:invertIfNegative val="0"/>
          <c:cat>
            <c:strRef>
              <c:f>'Sampe 3'!$H$23:$J$23</c:f>
              <c:strCache>
                <c:ptCount val="3"/>
                <c:pt idx="0">
                  <c:v>NTO</c:v>
                </c:pt>
                <c:pt idx="1">
                  <c:v>DNAN</c:v>
                </c:pt>
                <c:pt idx="2">
                  <c:v>RDX</c:v>
                </c:pt>
              </c:strCache>
            </c:strRef>
          </c:cat>
          <c:val>
            <c:numRef>
              <c:f>'Sampe 3'!$H$29:$J$29</c:f>
              <c:numCache>
                <c:formatCode>0</c:formatCode>
                <c:ptCount val="3"/>
                <c:pt idx="0">
                  <c:v>23.709855975423494</c:v>
                </c:pt>
                <c:pt idx="1">
                  <c:v>10.979708692688291</c:v>
                </c:pt>
                <c:pt idx="2">
                  <c:v>11.085778448180481</c:v>
                </c:pt>
              </c:numCache>
            </c:numRef>
          </c:val>
          <c:extLst>
            <c:ext xmlns:c16="http://schemas.microsoft.com/office/drawing/2014/chart" uri="{C3380CC4-5D6E-409C-BE32-E72D297353CC}">
              <c16:uniqueId val="{00000000-4F41-46DD-A387-BBB7ADF78AAF}"/>
            </c:ext>
          </c:extLst>
        </c:ser>
        <c:ser>
          <c:idx val="1"/>
          <c:order val="1"/>
          <c:tx>
            <c:v>Remaining (%)</c:v>
          </c:tx>
          <c:spPr>
            <a:solidFill>
              <a:schemeClr val="accent4">
                <a:lumMod val="75000"/>
              </a:schemeClr>
            </a:solidFill>
            <a:ln>
              <a:noFill/>
            </a:ln>
            <a:effectLst/>
          </c:spPr>
          <c:invertIfNegative val="0"/>
          <c:cat>
            <c:strRef>
              <c:f>'Sampe 3'!$H$23:$J$23</c:f>
              <c:strCache>
                <c:ptCount val="3"/>
                <c:pt idx="0">
                  <c:v>NTO</c:v>
                </c:pt>
                <c:pt idx="1">
                  <c:v>DNAN</c:v>
                </c:pt>
                <c:pt idx="2">
                  <c:v>RDX</c:v>
                </c:pt>
              </c:strCache>
            </c:strRef>
          </c:cat>
          <c:val>
            <c:numRef>
              <c:f>'Sampe 3'!$H$30:$J$30</c:f>
              <c:numCache>
                <c:formatCode>0</c:formatCode>
                <c:ptCount val="3"/>
                <c:pt idx="0">
                  <c:v>76.29014402457652</c:v>
                </c:pt>
                <c:pt idx="1">
                  <c:v>89.020291307311723</c:v>
                </c:pt>
                <c:pt idx="2">
                  <c:v>88.914221551819523</c:v>
                </c:pt>
              </c:numCache>
            </c:numRef>
          </c:val>
          <c:extLst>
            <c:ext xmlns:c16="http://schemas.microsoft.com/office/drawing/2014/chart" uri="{C3380CC4-5D6E-409C-BE32-E72D297353CC}">
              <c16:uniqueId val="{00000001-4F41-46DD-A387-BBB7ADF78AAF}"/>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10849826204157"/>
          <c:y val="7.5480514746873409E-2"/>
          <c:w val="0.8580987089451656"/>
          <c:h val="0.80831546377928754"/>
        </c:manualLayout>
      </c:layout>
      <c:scatterChart>
        <c:scatterStyle val="lineMarker"/>
        <c:varyColors val="0"/>
        <c:ser>
          <c:idx val="1"/>
          <c:order val="0"/>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'Sampe 3'!$N$4:$N$14</c:f>
              <c:numCache>
                <c:formatCode>0.00</c:formatCode>
                <c:ptCount val="11"/>
                <c:pt idx="0" formatCode="General">
                  <c:v>0</c:v>
                </c:pt>
                <c:pt idx="1">
                  <c:v>0.24541429794284136</c:v>
                </c:pt>
                <c:pt idx="2">
                  <c:v>0.50830104721800362</c:v>
                </c:pt>
                <c:pt idx="3">
                  <c:v>0.75224635993372913</c:v>
                </c:pt>
                <c:pt idx="4">
                  <c:v>1.0119441950849095</c:v>
                </c:pt>
                <c:pt idx="5">
                  <c:v>1.1794814393207234</c:v>
                </c:pt>
                <c:pt idx="6">
                  <c:v>1.4212956709926825</c:v>
                </c:pt>
                <c:pt idx="7">
                  <c:v>1.6624540791108655</c:v>
                </c:pt>
                <c:pt idx="8">
                  <c:v>1.8876604217865522</c:v>
                </c:pt>
                <c:pt idx="9">
                  <c:v>2.0866603996962581</c:v>
                </c:pt>
                <c:pt idx="10">
                  <c:v>2.2626983673892029</c:v>
                </c:pt>
              </c:numCache>
            </c:numRef>
          </c:yVal>
          <c:smooth val="0"/>
          <c:extLst>
            <c:ext xmlns:c16="http://schemas.microsoft.com/office/drawing/2014/chart" uri="{C3380CC4-5D6E-409C-BE32-E72D297353CC}">
              <c16:uniqueId val="{00000001-7698-4833-A370-09412088A684}"/>
            </c:ext>
          </c:extLst>
        </c:ser>
        <c:ser>
          <c:idx val="2"/>
          <c:order val="1"/>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'Sampe 3'!$A$4:$A$14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'Sampe 3'!$O$4:$O$14</c:f>
              <c:numCache>
                <c:formatCode>0.00</c:formatCode>
                <c:ptCount val="11"/>
                <c:pt idx="0" formatCode="General">
                  <c:v>0</c:v>
                </c:pt>
                <c:pt idx="1">
                  <c:v>0.10096619100484686</c:v>
                </c:pt>
                <c:pt idx="2">
                  <c:v>0.238712903424322</c:v>
                </c:pt>
                <c:pt idx="3">
                  <c:v>0.31515763647686962</c:v>
                </c:pt>
                <c:pt idx="4">
                  <c:v>0.4247649050686661</c:v>
                </c:pt>
                <c:pt idx="5">
                  <c:v>0.52661440622684563</c:v>
                </c:pt>
                <c:pt idx="6">
                  <c:v>0.64469208622467944</c:v>
                </c:pt>
                <c:pt idx="7">
                  <c:v>0.76502986847708621</c:v>
                </c:pt>
                <c:pt idx="8">
                  <c:v>0.84533898547906283</c:v>
                </c:pt>
                <c:pt idx="9">
                  <c:v>0.9581015210183117</c:v>
                </c:pt>
                <c:pt idx="10">
                  <c:v>1.0708861980942346</c:v>
                </c:pt>
              </c:numCache>
            </c:numRef>
          </c:yVal>
          <c:smooth val="0"/>
          <c:extLst>
            <c:ext xmlns:c16="http://schemas.microsoft.com/office/drawing/2014/chart" uri="{C3380CC4-5D6E-409C-BE32-E72D297353CC}">
              <c16:uniqueId val="{00000002-7698-4833-A370-09412088A684}"/>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dissolution rate - Flakes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Dissolution rate</c:v>
          </c:tx>
          <c:spPr>
            <a:solidFill>
              <a:schemeClr val="accent1"/>
            </a:solidFill>
            <a:ln>
              <a:noFill/>
            </a:ln>
            <a:effectLst/>
          </c:spPr>
          <c:invertIfNegative val="0"/>
          <c:errBars>
            <c:errBarType val="both"/>
            <c:errValType val="cust"/>
            <c:noEndCap val="0"/>
            <c:plus>
              <c:numRef>
                <c:f>Average!$B$9:$G$9</c:f>
                <c:numCache>
                  <c:formatCode>General</c:formatCode>
                  <c:ptCount val="6"/>
                  <c:pt idx="0">
                    <c:v>0.10736962001254156</c:v>
                  </c:pt>
                  <c:pt idx="1">
                    <c:v>2.8813386578643543E-2</c:v>
                  </c:pt>
                  <c:pt idx="2">
                    <c:v>2.5554611290130039E-2</c:v>
                  </c:pt>
                  <c:pt idx="3">
                    <c:v>1.9560208552929222E-2</c:v>
                  </c:pt>
                  <c:pt idx="4">
                    <c:v>1.1734160126172725E-2</c:v>
                  </c:pt>
                  <c:pt idx="5">
                    <c:v>7.7560278401185428E-3</c:v>
                  </c:pt>
                </c:numCache>
              </c:numRef>
            </c:plus>
            <c:minus>
              <c:numRef>
                <c:f>Average!$B$9:$G$9</c:f>
                <c:numCache>
                  <c:formatCode>General</c:formatCode>
                  <c:ptCount val="6"/>
                  <c:pt idx="0">
                    <c:v>0.10736962001254156</c:v>
                  </c:pt>
                  <c:pt idx="1">
                    <c:v>2.8813386578643543E-2</c:v>
                  </c:pt>
                  <c:pt idx="2">
                    <c:v>2.5554611290130039E-2</c:v>
                  </c:pt>
                  <c:pt idx="3">
                    <c:v>1.9560208552929222E-2</c:v>
                  </c:pt>
                  <c:pt idx="4">
                    <c:v>1.1734160126172725E-2</c:v>
                  </c:pt>
                  <c:pt idx="5">
                    <c:v>7.7560278401185428E-3</c:v>
                  </c:pt>
                </c:numCache>
              </c:numRef>
            </c:minus>
            <c:spPr>
              <a:noFill/>
              <a:ln w="9525" cap="flat" cmpd="sng" algn="ctr">
                <a:solidFill>
                  <a:schemeClr val="tx1">
                    <a:lumMod val="65000"/>
                    <a:lumOff val="35000"/>
                  </a:schemeClr>
                </a:solidFill>
                <a:round/>
              </a:ln>
              <a:effectLst/>
            </c:spPr>
          </c:errBars>
          <c:cat>
            <c:strRef>
              <c:f>Average!$B$4:$G$4</c:f>
              <c:strCache>
                <c:ptCount val="6"/>
                <c:pt idx="0">
                  <c:v>NTO 1</c:v>
                </c:pt>
                <c:pt idx="1">
                  <c:v>NTO 2</c:v>
                </c:pt>
                <c:pt idx="2">
                  <c:v>NTO3</c:v>
                </c:pt>
                <c:pt idx="3">
                  <c:v>DNAN</c:v>
                </c:pt>
                <c:pt idx="4">
                  <c:v>DNAN2</c:v>
                </c:pt>
                <c:pt idx="5">
                  <c:v>RDX</c:v>
                </c:pt>
              </c:strCache>
            </c:strRef>
          </c:cat>
          <c:val>
            <c:numRef>
              <c:f>Average!$B$8:$G$8</c:f>
              <c:numCache>
                <c:formatCode>0.000</c:formatCode>
                <c:ptCount val="6"/>
                <c:pt idx="0">
                  <c:v>0.26378598696478667</c:v>
                </c:pt>
                <c:pt idx="1">
                  <c:v>0.10473341856757203</c:v>
                </c:pt>
                <c:pt idx="2">
                  <c:v>5.6668896325470841E-2</c:v>
                </c:pt>
                <c:pt idx="3">
                  <c:v>5.6369651702961689E-2</c:v>
                </c:pt>
                <c:pt idx="4">
                  <c:v>3.322310384883953E-2</c:v>
                </c:pt>
                <c:pt idx="5">
                  <c:v>2.562827943491983E-2</c:v>
                </c:pt>
              </c:numCache>
            </c:numRef>
          </c:val>
          <c:extLst>
            <c:ext xmlns:c16="http://schemas.microsoft.com/office/drawing/2014/chart" uri="{C3380CC4-5D6E-409C-BE32-E72D297353CC}">
              <c16:uniqueId val="{00000000-A637-4F87-8172-85AD82A19721}"/>
            </c:ext>
          </c:extLst>
        </c:ser>
        <c:dLbls>
          <c:showLegendKey val="0"/>
          <c:showVal val="0"/>
          <c:showCatName val="0"/>
          <c:showSerName val="0"/>
          <c:showPercent val="0"/>
          <c:showBubbleSize val="0"/>
        </c:dLbls>
        <c:gapWidth val="219"/>
        <c:overlap val="-27"/>
        <c:axId val="73822384"/>
        <c:axId val="73831952"/>
      </c:barChart>
      <c:catAx>
        <c:axId val="738223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831952"/>
        <c:crosses val="autoZero"/>
        <c:auto val="1"/>
        <c:lblAlgn val="ctr"/>
        <c:lblOffset val="100"/>
        <c:noMultiLvlLbl val="0"/>
      </c:catAx>
      <c:valAx>
        <c:axId val="73831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Dissolution rate (mg/min)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822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Individual dissolution rates - Flakes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NTO 1</c:v>
          </c:tx>
          <c:spPr>
            <a:solidFill>
              <a:schemeClr val="accent1"/>
            </a:solidFill>
            <a:ln>
              <a:noFill/>
            </a:ln>
            <a:effectLst/>
          </c:spPr>
          <c:invertIfNegative val="0"/>
          <c:val>
            <c:numRef>
              <c:f>Average!$B$5:$B$7</c:f>
              <c:numCache>
                <c:formatCode>0.000</c:formatCode>
                <c:ptCount val="3"/>
                <c:pt idx="0">
                  <c:v>0.39867709439888788</c:v>
                </c:pt>
                <c:pt idx="1">
                  <c:v>0.13596125799783987</c:v>
                </c:pt>
                <c:pt idx="2">
                  <c:v>0.25671960849763215</c:v>
                </c:pt>
              </c:numCache>
            </c:numRef>
          </c:val>
          <c:extLst>
            <c:ext xmlns:c16="http://schemas.microsoft.com/office/drawing/2014/chart" uri="{C3380CC4-5D6E-409C-BE32-E72D297353CC}">
              <c16:uniqueId val="{00000000-6DB1-4111-A0B3-1076BEB6D32E}"/>
            </c:ext>
          </c:extLst>
        </c:ser>
        <c:ser>
          <c:idx val="1"/>
          <c:order val="1"/>
          <c:tx>
            <c:v>NTO 2</c:v>
          </c:tx>
          <c:spPr>
            <a:solidFill>
              <a:schemeClr val="accent5"/>
            </a:solidFill>
            <a:ln>
              <a:noFill/>
            </a:ln>
            <a:effectLst/>
          </c:spPr>
          <c:invertIfNegative val="0"/>
          <c:val>
            <c:numRef>
              <c:f>Average!$C$5:$C$7</c:f>
              <c:numCache>
                <c:formatCode>0.000</c:formatCode>
                <c:ptCount val="3"/>
                <c:pt idx="0">
                  <c:v>0.12867284812783972</c:v>
                </c:pt>
                <c:pt idx="1">
                  <c:v>6.4206836777167778E-2</c:v>
                </c:pt>
                <c:pt idx="2">
                  <c:v>0.12132057079770857</c:v>
                </c:pt>
              </c:numCache>
            </c:numRef>
          </c:val>
          <c:extLst>
            <c:ext xmlns:c16="http://schemas.microsoft.com/office/drawing/2014/chart" uri="{C3380CC4-5D6E-409C-BE32-E72D297353CC}">
              <c16:uniqueId val="{00000001-6DB1-4111-A0B3-1076BEB6D32E}"/>
            </c:ext>
          </c:extLst>
        </c:ser>
        <c:ser>
          <c:idx val="2"/>
          <c:order val="2"/>
          <c:tx>
            <c:v>DNAN</c:v>
          </c:tx>
          <c:spPr>
            <a:solidFill>
              <a:schemeClr val="accent2"/>
            </a:solidFill>
            <a:ln>
              <a:noFill/>
            </a:ln>
            <a:effectLst/>
          </c:spPr>
          <c:invertIfNegative val="0"/>
          <c:val>
            <c:numRef>
              <c:f>Average!$E$5:$E$7</c:f>
              <c:numCache>
                <c:formatCode>0.000</c:formatCode>
                <c:ptCount val="3"/>
                <c:pt idx="0">
                  <c:v>8.3828723436925962E-2</c:v>
                </c:pt>
                <c:pt idx="1">
                  <c:v>3.9741465704818436E-2</c:v>
                </c:pt>
                <c:pt idx="2">
                  <c:v>4.5538765967140682E-2</c:v>
                </c:pt>
              </c:numCache>
            </c:numRef>
          </c:val>
          <c:extLst>
            <c:ext xmlns:c16="http://schemas.microsoft.com/office/drawing/2014/chart" uri="{C3380CC4-5D6E-409C-BE32-E72D297353CC}">
              <c16:uniqueId val="{00000002-6DB1-4111-A0B3-1076BEB6D32E}"/>
            </c:ext>
          </c:extLst>
        </c:ser>
        <c:ser>
          <c:idx val="3"/>
          <c:order val="3"/>
          <c:tx>
            <c:v>RDX</c:v>
          </c:tx>
          <c:spPr>
            <a:solidFill>
              <a:schemeClr val="accent3"/>
            </a:solidFill>
            <a:ln>
              <a:noFill/>
            </a:ln>
            <a:effectLst/>
          </c:spPr>
          <c:invertIfNegative val="0"/>
          <c:val>
            <c:numRef>
              <c:f>Average!$G$5:$G$7</c:f>
              <c:numCache>
                <c:formatCode>0.000</c:formatCode>
                <c:ptCount val="3"/>
                <c:pt idx="0">
                  <c:v>3.6518970988650007E-2</c:v>
                </c:pt>
                <c:pt idx="1">
                  <c:v>1.9052190585480938E-2</c:v>
                </c:pt>
                <c:pt idx="2">
                  <c:v>2.1313676730628547E-2</c:v>
                </c:pt>
              </c:numCache>
            </c:numRef>
          </c:val>
          <c:extLst>
            <c:ext xmlns:c16="http://schemas.microsoft.com/office/drawing/2014/chart" uri="{C3380CC4-5D6E-409C-BE32-E72D297353CC}">
              <c16:uniqueId val="{00000003-6DB1-4111-A0B3-1076BEB6D32E}"/>
            </c:ext>
          </c:extLst>
        </c:ser>
        <c:dLbls>
          <c:showLegendKey val="0"/>
          <c:showVal val="0"/>
          <c:showCatName val="0"/>
          <c:showSerName val="0"/>
          <c:showPercent val="0"/>
          <c:showBubbleSize val="0"/>
        </c:dLbls>
        <c:gapWidth val="219"/>
        <c:overlap val="-27"/>
        <c:axId val="119812960"/>
        <c:axId val="119806720"/>
      </c:barChart>
      <c:catAx>
        <c:axId val="119812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Flake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806720"/>
        <c:crosses val="autoZero"/>
        <c:auto val="1"/>
        <c:lblAlgn val="ctr"/>
        <c:lblOffset val="100"/>
        <c:noMultiLvlLbl val="0"/>
      </c:catAx>
      <c:valAx>
        <c:axId val="1198067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Dissolution rate (mg/min)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812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IMX-104 compounds</a:t>
            </a:r>
          </a:p>
        </c:rich>
      </c:tx>
      <c:layout>
        <c:manualLayout>
          <c:xMode val="edge"/>
          <c:yMode val="edge"/>
          <c:x val="0.29099313343407829"/>
          <c:y val="3.856749311294765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Solid</c:v>
          </c:tx>
          <c:spPr>
            <a:solidFill>
              <a:schemeClr val="accent1"/>
            </a:solidFill>
            <a:ln>
              <a:noFill/>
            </a:ln>
            <a:effectLst/>
          </c:spPr>
          <c:invertIfNegative val="0"/>
          <c:cat>
            <c:strRef>
              <c:f>Average!$B$19:$D$19</c:f>
              <c:strCache>
                <c:ptCount val="3"/>
                <c:pt idx="0">
                  <c:v>NTO </c:v>
                </c:pt>
                <c:pt idx="1">
                  <c:v>DNAN</c:v>
                </c:pt>
                <c:pt idx="2">
                  <c:v>RDX</c:v>
                </c:pt>
              </c:strCache>
            </c:strRef>
          </c:cat>
          <c:val>
            <c:numRef>
              <c:f>Average!$B$30:$D$30</c:f>
              <c:numCache>
                <c:formatCode>0.0</c:formatCode>
                <c:ptCount val="3"/>
                <c:pt idx="0">
                  <c:v>62.402723199011376</c:v>
                </c:pt>
                <c:pt idx="1">
                  <c:v>72.525033789008546</c:v>
                </c:pt>
                <c:pt idx="2">
                  <c:v>73.848365935938574</c:v>
                </c:pt>
              </c:numCache>
            </c:numRef>
          </c:val>
          <c:extLst>
            <c:ext xmlns:c16="http://schemas.microsoft.com/office/drawing/2014/chart" uri="{C3380CC4-5D6E-409C-BE32-E72D297353CC}">
              <c16:uniqueId val="{00000000-0C51-4180-BB1F-BCC49B0AE0F7}"/>
            </c:ext>
          </c:extLst>
        </c:ser>
        <c:ser>
          <c:idx val="1"/>
          <c:order val="1"/>
          <c:tx>
            <c:v>Dissolved</c:v>
          </c:tx>
          <c:spPr>
            <a:solidFill>
              <a:schemeClr val="accent2"/>
            </a:solidFill>
            <a:ln>
              <a:noFill/>
            </a:ln>
            <a:effectLst/>
          </c:spPr>
          <c:invertIfNegative val="0"/>
          <c:cat>
            <c:strRef>
              <c:f>Average!$B$19:$D$19</c:f>
              <c:strCache>
                <c:ptCount val="3"/>
                <c:pt idx="0">
                  <c:v>NTO </c:v>
                </c:pt>
                <c:pt idx="1">
                  <c:v>DNAN</c:v>
                </c:pt>
                <c:pt idx="2">
                  <c:v>RDX</c:v>
                </c:pt>
              </c:strCache>
            </c:strRef>
          </c:cat>
          <c:val>
            <c:numRef>
              <c:f>Average!$B$23:$D$23</c:f>
              <c:numCache>
                <c:formatCode>0.0</c:formatCode>
                <c:ptCount val="3"/>
                <c:pt idx="0">
                  <c:v>37.597276800988624</c:v>
                </c:pt>
                <c:pt idx="1">
                  <c:v>27.474966210991443</c:v>
                </c:pt>
                <c:pt idx="2">
                  <c:v>26.151634064061426</c:v>
                </c:pt>
              </c:numCache>
            </c:numRef>
          </c:val>
          <c:extLst>
            <c:ext xmlns:c16="http://schemas.microsoft.com/office/drawing/2014/chart" uri="{C3380CC4-5D6E-409C-BE32-E72D297353CC}">
              <c16:uniqueId val="{00000001-0C51-4180-BB1F-BCC49B0AE0F7}"/>
            </c:ext>
          </c:extLst>
        </c:ser>
        <c:dLbls>
          <c:showLegendKey val="0"/>
          <c:showVal val="0"/>
          <c:showCatName val="0"/>
          <c:showSerName val="0"/>
          <c:showPercent val="0"/>
          <c:showBubbleSize val="0"/>
        </c:dLbls>
        <c:gapWidth val="150"/>
        <c:overlap val="100"/>
        <c:axId val="128269568"/>
        <c:axId val="128269984"/>
      </c:barChart>
      <c:catAx>
        <c:axId val="1282695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269984"/>
        <c:crosses val="autoZero"/>
        <c:auto val="1"/>
        <c:lblAlgn val="ctr"/>
        <c:lblOffset val="100"/>
        <c:noMultiLvlLbl val="0"/>
      </c:catAx>
      <c:valAx>
        <c:axId val="128269984"/>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269568"/>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NTO -F1</c:v>
          </c:tx>
          <c:spPr>
            <a:ln w="19050" cap="rnd">
              <a:solidFill>
                <a:schemeClr val="accent1"/>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mass'!$B$5:$B$20</c:f>
              <c:numCache>
                <c:formatCode>0.00</c:formatCode>
                <c:ptCount val="16"/>
                <c:pt idx="0" formatCode="General">
                  <c:v>0</c:v>
                </c:pt>
                <c:pt idx="1">
                  <c:v>2.9825066317282567</c:v>
                </c:pt>
                <c:pt idx="2">
                  <c:v>4.8356551251599287</c:v>
                </c:pt>
                <c:pt idx="3">
                  <c:v>6.0269020755042417</c:v>
                </c:pt>
                <c:pt idx="4">
                  <c:v>6.8820133802988765</c:v>
                </c:pt>
                <c:pt idx="5">
                  <c:v>7.5115449644205894</c:v>
                </c:pt>
                <c:pt idx="6">
                  <c:v>8.0299187535905059</c:v>
                </c:pt>
                <c:pt idx="7">
                  <c:v>8.6342783052760286</c:v>
                </c:pt>
                <c:pt idx="8">
                  <c:v>9.246699196545288</c:v>
                </c:pt>
                <c:pt idx="9">
                  <c:v>9.9749662139604318</c:v>
                </c:pt>
                <c:pt idx="10">
                  <c:v>10.708046332264997</c:v>
                </c:pt>
                <c:pt idx="11">
                  <c:v>11.050093639819375</c:v>
                </c:pt>
                <c:pt idx="12">
                  <c:v>11.518776077857598</c:v>
                </c:pt>
                <c:pt idx="13">
                  <c:v>11.910046619464296</c:v>
                </c:pt>
                <c:pt idx="14">
                  <c:v>12.227504919707677</c:v>
                </c:pt>
                <c:pt idx="15">
                  <c:v>12.68909073339918</c:v>
                </c:pt>
              </c:numCache>
            </c:numRef>
          </c:yVal>
          <c:smooth val="1"/>
          <c:extLst>
            <c:ext xmlns:c16="http://schemas.microsoft.com/office/drawing/2014/chart" uri="{C3380CC4-5D6E-409C-BE32-E72D297353CC}">
              <c16:uniqueId val="{00000000-850F-49B9-8080-478783660307}"/>
            </c:ext>
          </c:extLst>
        </c:ser>
        <c:ser>
          <c:idx val="3"/>
          <c:order val="1"/>
          <c:tx>
            <c:v>NTO- F2</c:v>
          </c:tx>
          <c:spPr>
            <a:ln w="19050" cap="rnd">
              <a:solidFill>
                <a:schemeClr val="accent5"/>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mass'!$E$5:$E$20</c:f>
              <c:numCache>
                <c:formatCode>0.00</c:formatCode>
                <c:ptCount val="16"/>
                <c:pt idx="0" formatCode="General">
                  <c:v>0</c:v>
                </c:pt>
                <c:pt idx="1">
                  <c:v>0.88424606186784616</c:v>
                </c:pt>
                <c:pt idx="2">
                  <c:v>1.5397301597862838</c:v>
                </c:pt>
                <c:pt idx="3">
                  <c:v>2.0475262673245185</c:v>
                </c:pt>
                <c:pt idx="4">
                  <c:v>2.4638753099080333</c:v>
                </c:pt>
                <c:pt idx="5">
                  <c:v>2.8140823587675516</c:v>
                </c:pt>
                <c:pt idx="6">
                  <c:v>3.0492213772875139</c:v>
                </c:pt>
                <c:pt idx="7">
                  <c:v>3.3252764784947817</c:v>
                </c:pt>
                <c:pt idx="8">
                  <c:v>3.5913141635467727</c:v>
                </c:pt>
                <c:pt idx="9">
                  <c:v>3.8866715085032819</c:v>
                </c:pt>
                <c:pt idx="10">
                  <c:v>4.1987960402635665</c:v>
                </c:pt>
                <c:pt idx="11">
                  <c:v>4.5408433478179449</c:v>
                </c:pt>
                <c:pt idx="12">
                  <c:v>5.3854669405824964</c:v>
                </c:pt>
                <c:pt idx="13">
                  <c:v>5.3854669405824964</c:v>
                </c:pt>
                <c:pt idx="14">
                  <c:v>5.6951823554540875</c:v>
                </c:pt>
                <c:pt idx="15">
                  <c:v>6.1453709885606154</c:v>
                </c:pt>
              </c:numCache>
            </c:numRef>
          </c:yVal>
          <c:smooth val="1"/>
          <c:extLst>
            <c:ext xmlns:c16="http://schemas.microsoft.com/office/drawing/2014/chart" uri="{C3380CC4-5D6E-409C-BE32-E72D297353CC}">
              <c16:uniqueId val="{00000003-850F-49B9-8080-478783660307}"/>
            </c:ext>
          </c:extLst>
        </c:ser>
        <c:ser>
          <c:idx val="6"/>
          <c:order val="2"/>
          <c:tx>
            <c:v>NTO- F3</c:v>
          </c:tx>
          <c:spPr>
            <a:ln w="19050" cap="rnd">
              <a:solidFill>
                <a:schemeClr val="accent1">
                  <a:lumMod val="60000"/>
                </a:schemeClr>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mass'!$H$5:$H$20</c:f>
              <c:numCache>
                <c:formatCode>0.00</c:formatCode>
                <c:ptCount val="16"/>
                <c:pt idx="0">
                  <c:v>0</c:v>
                </c:pt>
                <c:pt idx="1">
                  <c:v>1.4913867858502321</c:v>
                </c:pt>
                <c:pt idx="2">
                  <c:v>2.7194045001885359</c:v>
                </c:pt>
                <c:pt idx="3">
                  <c:v>3.869320903514434</c:v>
                </c:pt>
                <c:pt idx="4">
                  <c:v>4.7944038878755535</c:v>
                </c:pt>
                <c:pt idx="5">
                  <c:v>5.5623420508292378</c:v>
                </c:pt>
                <c:pt idx="6">
                  <c:v>6.2286662265164345</c:v>
                </c:pt>
                <c:pt idx="7">
                  <c:v>6.9209455439991308</c:v>
                </c:pt>
                <c:pt idx="8">
                  <c:v>7.4851661648147552</c:v>
                </c:pt>
                <c:pt idx="9">
                  <c:v>7.7805235097712639</c:v>
                </c:pt>
                <c:pt idx="10">
                  <c:v>8.0926480415315485</c:v>
                </c:pt>
                <c:pt idx="11">
                  <c:v>8.3813741041603524</c:v>
                </c:pt>
                <c:pt idx="12">
                  <c:v>8.9405500429947047</c:v>
                </c:pt>
                <c:pt idx="13">
                  <c:v>10.217433706813159</c:v>
                </c:pt>
                <c:pt idx="14">
                  <c:v>11.022603346618645</c:v>
                </c:pt>
                <c:pt idx="15">
                  <c:v>12.748078361374523</c:v>
                </c:pt>
              </c:numCache>
            </c:numRef>
          </c:yVal>
          <c:smooth val="1"/>
          <c:extLst>
            <c:ext xmlns:c16="http://schemas.microsoft.com/office/drawing/2014/chart" uri="{C3380CC4-5D6E-409C-BE32-E72D297353CC}">
              <c16:uniqueId val="{00000006-850F-49B9-8080-478783660307}"/>
            </c:ext>
          </c:extLst>
        </c:ser>
        <c:ser>
          <c:idx val="1"/>
          <c:order val="3"/>
          <c:tx>
            <c:v>DNAN-F1</c:v>
          </c:tx>
          <c:spPr>
            <a:ln w="19050" cap="rnd">
              <a:solidFill>
                <a:schemeClr val="accent2"/>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mass'!$C$5:$C$20</c:f>
              <c:numCache>
                <c:formatCode>0.00</c:formatCode>
                <c:ptCount val="16"/>
                <c:pt idx="0" formatCode="General">
                  <c:v>0</c:v>
                </c:pt>
                <c:pt idx="1">
                  <c:v>0.31108924070514693</c:v>
                </c:pt>
                <c:pt idx="2">
                  <c:v>0.71295210910504259</c:v>
                </c:pt>
                <c:pt idx="3">
                  <c:v>1.1663296046725837</c:v>
                </c:pt>
                <c:pt idx="4">
                  <c:v>1.6190366366555033</c:v>
                </c:pt>
                <c:pt idx="5">
                  <c:v>2.0425702951245612</c:v>
                </c:pt>
                <c:pt idx="6">
                  <c:v>2.4533127022292738</c:v>
                </c:pt>
                <c:pt idx="7">
                  <c:v>2.8636396137770936</c:v>
                </c:pt>
                <c:pt idx="8">
                  <c:v>3.2844637039916087</c:v>
                </c:pt>
                <c:pt idx="9">
                  <c:v>3.7086576998067287</c:v>
                </c:pt>
                <c:pt idx="10">
                  <c:v>4.1144186370920934</c:v>
                </c:pt>
                <c:pt idx="11">
                  <c:v>4.3676739169493795</c:v>
                </c:pt>
                <c:pt idx="12">
                  <c:v>4.6390850003337194</c:v>
                </c:pt>
                <c:pt idx="13">
                  <c:v>4.8973310989677836</c:v>
                </c:pt>
                <c:pt idx="14">
                  <c:v>5.1212319679143237</c:v>
                </c:pt>
                <c:pt idx="15">
                  <c:v>5.397251319107883</c:v>
                </c:pt>
              </c:numCache>
            </c:numRef>
          </c:yVal>
          <c:smooth val="1"/>
          <c:extLst>
            <c:ext xmlns:c16="http://schemas.microsoft.com/office/drawing/2014/chart" uri="{C3380CC4-5D6E-409C-BE32-E72D297353CC}">
              <c16:uniqueId val="{00000001-850F-49B9-8080-478783660307}"/>
            </c:ext>
          </c:extLst>
        </c:ser>
        <c:ser>
          <c:idx val="4"/>
          <c:order val="4"/>
          <c:tx>
            <c:v>DNAN- F2</c:v>
          </c:tx>
          <c:spPr>
            <a:ln w="19050" cap="rnd">
              <a:solidFill>
                <a:schemeClr val="accent2">
                  <a:lumMod val="75000"/>
                </a:schemeClr>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mass'!$F$5:$F$20</c:f>
              <c:numCache>
                <c:formatCode>0.00</c:formatCode>
                <c:ptCount val="16"/>
                <c:pt idx="0" formatCode="General">
                  <c:v>0</c:v>
                </c:pt>
                <c:pt idx="1">
                  <c:v>0.22794275024161259</c:v>
                </c:pt>
                <c:pt idx="2">
                  <c:v>0.45118443945878783</c:v>
                </c:pt>
                <c:pt idx="3">
                  <c:v>0.68627416747204206</c:v>
                </c:pt>
                <c:pt idx="4">
                  <c:v>0.89591190321689917</c:v>
                </c:pt>
                <c:pt idx="5">
                  <c:v>1.1079771110037278</c:v>
                </c:pt>
                <c:pt idx="6">
                  <c:v>1.2484811148695292</c:v>
                </c:pt>
                <c:pt idx="7">
                  <c:v>1.4466435862211791</c:v>
                </c:pt>
                <c:pt idx="8">
                  <c:v>1.6315615898108518</c:v>
                </c:pt>
                <c:pt idx="9">
                  <c:v>1.8305615677205576</c:v>
                </c:pt>
                <c:pt idx="10">
                  <c:v>2.0065782735054531</c:v>
                </c:pt>
                <c:pt idx="11">
                  <c:v>2.2598335533627387</c:v>
                </c:pt>
                <c:pt idx="12">
                  <c:v>2.7798412959327488</c:v>
                </c:pt>
                <c:pt idx="13">
                  <c:v>2.7798412959327488</c:v>
                </c:pt>
                <c:pt idx="14">
                  <c:v>2.9982811680757142</c:v>
                </c:pt>
                <c:pt idx="15">
                  <c:v>3.2674852266472101</c:v>
                </c:pt>
              </c:numCache>
            </c:numRef>
          </c:yVal>
          <c:smooth val="1"/>
          <c:extLst>
            <c:ext xmlns:c16="http://schemas.microsoft.com/office/drawing/2014/chart" uri="{C3380CC4-5D6E-409C-BE32-E72D297353CC}">
              <c16:uniqueId val="{00000004-850F-49B9-8080-478783660307}"/>
            </c:ext>
          </c:extLst>
        </c:ser>
        <c:ser>
          <c:idx val="7"/>
          <c:order val="5"/>
          <c:tx>
            <c:v>DNAN- F3</c:v>
          </c:tx>
          <c:spPr>
            <a:ln w="19050" cap="rnd">
              <a:solidFill>
                <a:schemeClr val="accent2">
                  <a:lumMod val="60000"/>
                </a:schemeClr>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mass'!$I$5:$I$20</c:f>
              <c:numCache>
                <c:formatCode>0.00</c:formatCode>
                <c:ptCount val="16"/>
                <c:pt idx="0">
                  <c:v>0</c:v>
                </c:pt>
                <c:pt idx="1">
                  <c:v>0.24541429794284136</c:v>
                </c:pt>
                <c:pt idx="2">
                  <c:v>0.50830104721800362</c:v>
                </c:pt>
                <c:pt idx="3">
                  <c:v>0.75224635993372913</c:v>
                </c:pt>
                <c:pt idx="4">
                  <c:v>1.0119441950849095</c:v>
                </c:pt>
                <c:pt idx="5">
                  <c:v>1.1794814393207234</c:v>
                </c:pt>
                <c:pt idx="6">
                  <c:v>1.4212956709926825</c:v>
                </c:pt>
                <c:pt idx="7">
                  <c:v>1.6624540791108655</c:v>
                </c:pt>
                <c:pt idx="8">
                  <c:v>1.8876604217865522</c:v>
                </c:pt>
                <c:pt idx="9">
                  <c:v>2.0866603996962581</c:v>
                </c:pt>
                <c:pt idx="10">
                  <c:v>2.2626983673892029</c:v>
                </c:pt>
                <c:pt idx="11">
                  <c:v>2.7505064353564119</c:v>
                </c:pt>
                <c:pt idx="12">
                  <c:v>3.1931669498188002</c:v>
                </c:pt>
                <c:pt idx="13">
                  <c:v>3.8056670152121281</c:v>
                </c:pt>
                <c:pt idx="14">
                  <c:v>4.1173839301118669</c:v>
                </c:pt>
                <c:pt idx="15">
                  <c:v>4.8063314114224536</c:v>
                </c:pt>
              </c:numCache>
            </c:numRef>
          </c:yVal>
          <c:smooth val="1"/>
          <c:extLst>
            <c:ext xmlns:c16="http://schemas.microsoft.com/office/drawing/2014/chart" uri="{C3380CC4-5D6E-409C-BE32-E72D297353CC}">
              <c16:uniqueId val="{00000007-850F-49B9-8080-478783660307}"/>
            </c:ext>
          </c:extLst>
        </c:ser>
        <c:ser>
          <c:idx val="2"/>
          <c:order val="6"/>
          <c:tx>
            <c:v>RDX- F1</c:v>
          </c:tx>
          <c:spPr>
            <a:ln w="19050" cap="rnd">
              <a:solidFill>
                <a:schemeClr val="accent3"/>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mass'!$D$5:$D$20</c:f>
              <c:numCache>
                <c:formatCode>0.00</c:formatCode>
                <c:ptCount val="16"/>
                <c:pt idx="0" formatCode="General">
                  <c:v>0</c:v>
                </c:pt>
                <c:pt idx="1">
                  <c:v>0.1468524784106352</c:v>
                </c:pt>
                <c:pt idx="2">
                  <c:v>0.2846193127608635</c:v>
                </c:pt>
                <c:pt idx="3">
                  <c:v>0.43384736835395593</c:v>
                </c:pt>
                <c:pt idx="4">
                  <c:v>0.60076774050437654</c:v>
                </c:pt>
                <c:pt idx="5">
                  <c:v>0.80483398103552461</c:v>
                </c:pt>
                <c:pt idx="6">
                  <c:v>0.98409761274021113</c:v>
                </c:pt>
                <c:pt idx="7">
                  <c:v>1.1906145234531764</c:v>
                </c:pt>
                <c:pt idx="8">
                  <c:v>1.383707241329196</c:v>
                </c:pt>
                <c:pt idx="9">
                  <c:v>1.6117474292911651</c:v>
                </c:pt>
                <c:pt idx="10">
                  <c:v>1.8063452544192224</c:v>
                </c:pt>
                <c:pt idx="11">
                  <c:v>1.8797951612929971</c:v>
                </c:pt>
                <c:pt idx="12">
                  <c:v>1.9690701096925434</c:v>
                </c:pt>
                <c:pt idx="13">
                  <c:v>2.074664632165542</c:v>
                </c:pt>
                <c:pt idx="14">
                  <c:v>2.1649995869198877</c:v>
                </c:pt>
                <c:pt idx="15">
                  <c:v>2.3127363019019729</c:v>
                </c:pt>
              </c:numCache>
            </c:numRef>
          </c:yVal>
          <c:smooth val="1"/>
          <c:extLst>
            <c:ext xmlns:c16="http://schemas.microsoft.com/office/drawing/2014/chart" uri="{C3380CC4-5D6E-409C-BE32-E72D297353CC}">
              <c16:uniqueId val="{00000002-850F-49B9-8080-478783660307}"/>
            </c:ext>
          </c:extLst>
        </c:ser>
        <c:ser>
          <c:idx val="5"/>
          <c:order val="7"/>
          <c:tx>
            <c:v>RDX- F2</c:v>
          </c:tx>
          <c:spPr>
            <a:ln w="19050" cap="rnd">
              <a:solidFill>
                <a:schemeClr val="bg1">
                  <a:lumMod val="75000"/>
                </a:schemeClr>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mass'!$G$5:$G$20</c:f>
              <c:numCache>
                <c:formatCode>0.00</c:formatCode>
                <c:ptCount val="16"/>
                <c:pt idx="0" formatCode="General">
                  <c:v>0</c:v>
                </c:pt>
                <c:pt idx="1">
                  <c:v>0.12333698075772755</c:v>
                </c:pt>
                <c:pt idx="2">
                  <c:v>0.23161203423583537</c:v>
                </c:pt>
                <c:pt idx="3">
                  <c:v>0.33278945158169659</c:v>
                </c:pt>
                <c:pt idx="4">
                  <c:v>0.42017954957771375</c:v>
                </c:pt>
                <c:pt idx="5">
                  <c:v>0.51534661740198551</c:v>
                </c:pt>
                <c:pt idx="6">
                  <c:v>0.59381289234715351</c:v>
                </c:pt>
                <c:pt idx="7">
                  <c:v>0.68701435994889726</c:v>
                </c:pt>
                <c:pt idx="8">
                  <c:v>0.76716829025135314</c:v>
                </c:pt>
                <c:pt idx="9">
                  <c:v>0.879930825790602</c:v>
                </c:pt>
                <c:pt idx="10">
                  <c:v>0.99271550286652488</c:v>
                </c:pt>
                <c:pt idx="11">
                  <c:v>1.0661654097402995</c:v>
                </c:pt>
                <c:pt idx="12">
                  <c:v>1.257357244598182</c:v>
                </c:pt>
                <c:pt idx="13">
                  <c:v>1.257357244598182</c:v>
                </c:pt>
                <c:pt idx="14">
                  <c:v>1.3454889077731533</c:v>
                </c:pt>
                <c:pt idx="15">
                  <c:v>1.4895778026322239</c:v>
                </c:pt>
              </c:numCache>
            </c:numRef>
          </c:yVal>
          <c:smooth val="1"/>
          <c:extLst>
            <c:ext xmlns:c16="http://schemas.microsoft.com/office/drawing/2014/chart" uri="{C3380CC4-5D6E-409C-BE32-E72D297353CC}">
              <c16:uniqueId val="{00000005-850F-49B9-8080-478783660307}"/>
            </c:ext>
          </c:extLst>
        </c:ser>
        <c:ser>
          <c:idx val="8"/>
          <c:order val="8"/>
          <c:tx>
            <c:v>RDX -F3</c:v>
          </c:tx>
          <c:spPr>
            <a:ln w="19050" cap="rnd">
              <a:solidFill>
                <a:schemeClr val="accent3">
                  <a:lumMod val="60000"/>
                </a:schemeClr>
              </a:solidFill>
              <a:round/>
            </a:ln>
            <a:effectLst/>
          </c:spPr>
          <c:marker>
            <c:symbol val="none"/>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mass'!$J$5:$J$20</c:f>
              <c:numCache>
                <c:formatCode>0.00</c:formatCode>
                <c:ptCount val="16"/>
                <c:pt idx="0">
                  <c:v>0</c:v>
                </c:pt>
                <c:pt idx="1">
                  <c:v>0.10096619100484686</c:v>
                </c:pt>
                <c:pt idx="2">
                  <c:v>0.238712903424322</c:v>
                </c:pt>
                <c:pt idx="3">
                  <c:v>0.31515763647686962</c:v>
                </c:pt>
                <c:pt idx="4">
                  <c:v>0.4247649050686661</c:v>
                </c:pt>
                <c:pt idx="5">
                  <c:v>0.52661440622684563</c:v>
                </c:pt>
                <c:pt idx="6">
                  <c:v>0.64469208622467944</c:v>
                </c:pt>
                <c:pt idx="7">
                  <c:v>0.76502986847708621</c:v>
                </c:pt>
                <c:pt idx="8">
                  <c:v>0.84533898547906283</c:v>
                </c:pt>
                <c:pt idx="9">
                  <c:v>0.9581015210183117</c:v>
                </c:pt>
                <c:pt idx="10">
                  <c:v>1.0708861980942346</c:v>
                </c:pt>
                <c:pt idx="11">
                  <c:v>1.2414330983213024</c:v>
                </c:pt>
                <c:pt idx="12">
                  <c:v>1.4469776865380579</c:v>
                </c:pt>
                <c:pt idx="13">
                  <c:v>1.7065610080314875</c:v>
                </c:pt>
                <c:pt idx="14">
                  <c:v>1.8573677317191311</c:v>
                </c:pt>
                <c:pt idx="15">
                  <c:v>2.1917205703253115</c:v>
                </c:pt>
              </c:numCache>
            </c:numRef>
          </c:yVal>
          <c:smooth val="1"/>
          <c:extLst>
            <c:ext xmlns:c16="http://schemas.microsoft.com/office/drawing/2014/chart" uri="{C3380CC4-5D6E-409C-BE32-E72D297353CC}">
              <c16:uniqueId val="{00000008-850F-49B9-8080-478783660307}"/>
            </c:ext>
          </c:extLst>
        </c:ser>
        <c:dLbls>
          <c:showLegendKey val="0"/>
          <c:showVal val="0"/>
          <c:showCatName val="0"/>
          <c:showSerName val="0"/>
          <c:showPercent val="0"/>
          <c:showBubbleSize val="0"/>
        </c:dLbls>
        <c:axId val="614277984"/>
        <c:axId val="614289632"/>
      </c:scatterChart>
      <c:valAx>
        <c:axId val="614277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4289632"/>
        <c:crosses val="autoZero"/>
        <c:crossBetween val="midCat"/>
      </c:valAx>
      <c:valAx>
        <c:axId val="6142896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4277984"/>
        <c:crosses val="autoZero"/>
        <c:crossBetween val="midCat"/>
      </c:valAx>
      <c:spPr>
        <a:noFill/>
        <a:ln>
          <a:noFill/>
        </a:ln>
        <a:effectLst/>
      </c:spPr>
    </c:plotArea>
    <c:legend>
      <c:legendPos val="b"/>
      <c:layout>
        <c:manualLayout>
          <c:xMode val="edge"/>
          <c:yMode val="edge"/>
          <c:x val="8.437379702537183E-2"/>
          <c:y val="0.82291557305336838"/>
          <c:w val="0.54514107611548568"/>
          <c:h val="0.1493066491688538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Flake 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'Average cum mass'!$B$4</c:f>
              <c:strCache>
                <c:ptCount val="1"/>
                <c:pt idx="0">
                  <c:v>NTO</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mass'!$B$5:$B$20</c:f>
              <c:numCache>
                <c:formatCode>0.00</c:formatCode>
                <c:ptCount val="16"/>
                <c:pt idx="0" formatCode="General">
                  <c:v>0</c:v>
                </c:pt>
                <c:pt idx="1">
                  <c:v>2.9825066317282567</c:v>
                </c:pt>
                <c:pt idx="2">
                  <c:v>4.8356551251599287</c:v>
                </c:pt>
                <c:pt idx="3">
                  <c:v>6.0269020755042417</c:v>
                </c:pt>
                <c:pt idx="4">
                  <c:v>6.8820133802988765</c:v>
                </c:pt>
                <c:pt idx="5">
                  <c:v>7.5115449644205894</c:v>
                </c:pt>
                <c:pt idx="6">
                  <c:v>8.0299187535905059</c:v>
                </c:pt>
                <c:pt idx="7">
                  <c:v>8.6342783052760286</c:v>
                </c:pt>
                <c:pt idx="8">
                  <c:v>9.246699196545288</c:v>
                </c:pt>
                <c:pt idx="9">
                  <c:v>9.9749662139604318</c:v>
                </c:pt>
                <c:pt idx="10">
                  <c:v>10.708046332264997</c:v>
                </c:pt>
                <c:pt idx="11">
                  <c:v>11.050093639819375</c:v>
                </c:pt>
                <c:pt idx="12">
                  <c:v>11.518776077857598</c:v>
                </c:pt>
                <c:pt idx="13">
                  <c:v>11.910046619464296</c:v>
                </c:pt>
                <c:pt idx="14">
                  <c:v>12.227504919707677</c:v>
                </c:pt>
                <c:pt idx="15">
                  <c:v>12.68909073339918</c:v>
                </c:pt>
              </c:numCache>
            </c:numRef>
          </c:yVal>
          <c:smooth val="0"/>
          <c:extLst>
            <c:ext xmlns:c16="http://schemas.microsoft.com/office/drawing/2014/chart" uri="{C3380CC4-5D6E-409C-BE32-E72D297353CC}">
              <c16:uniqueId val="{00000000-48A3-4306-8AD6-4FAF7E8BF9A7}"/>
            </c:ext>
          </c:extLst>
        </c:ser>
        <c:ser>
          <c:idx val="1"/>
          <c:order val="1"/>
          <c:tx>
            <c:strRef>
              <c:f>'Average cum mass'!$C$4</c:f>
              <c:strCache>
                <c:ptCount val="1"/>
                <c:pt idx="0">
                  <c:v>DNAN</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mass'!$C$5:$C$20</c:f>
              <c:numCache>
                <c:formatCode>0.00</c:formatCode>
                <c:ptCount val="16"/>
                <c:pt idx="0" formatCode="General">
                  <c:v>0</c:v>
                </c:pt>
                <c:pt idx="1">
                  <c:v>0.31108924070514693</c:v>
                </c:pt>
                <c:pt idx="2">
                  <c:v>0.71295210910504259</c:v>
                </c:pt>
                <c:pt idx="3">
                  <c:v>1.1663296046725837</c:v>
                </c:pt>
                <c:pt idx="4">
                  <c:v>1.6190366366555033</c:v>
                </c:pt>
                <c:pt idx="5">
                  <c:v>2.0425702951245612</c:v>
                </c:pt>
                <c:pt idx="6">
                  <c:v>2.4533127022292738</c:v>
                </c:pt>
                <c:pt idx="7">
                  <c:v>2.8636396137770936</c:v>
                </c:pt>
                <c:pt idx="8">
                  <c:v>3.2844637039916087</c:v>
                </c:pt>
                <c:pt idx="9">
                  <c:v>3.7086576998067287</c:v>
                </c:pt>
                <c:pt idx="10">
                  <c:v>4.1144186370920934</c:v>
                </c:pt>
                <c:pt idx="11">
                  <c:v>4.3676739169493795</c:v>
                </c:pt>
                <c:pt idx="12">
                  <c:v>4.6390850003337194</c:v>
                </c:pt>
                <c:pt idx="13">
                  <c:v>4.8973310989677836</c:v>
                </c:pt>
                <c:pt idx="14">
                  <c:v>5.1212319679143237</c:v>
                </c:pt>
                <c:pt idx="15">
                  <c:v>5.397251319107883</c:v>
                </c:pt>
              </c:numCache>
            </c:numRef>
          </c:yVal>
          <c:smooth val="0"/>
          <c:extLst>
            <c:ext xmlns:c16="http://schemas.microsoft.com/office/drawing/2014/chart" uri="{C3380CC4-5D6E-409C-BE32-E72D297353CC}">
              <c16:uniqueId val="{00000001-48A3-4306-8AD6-4FAF7E8BF9A7}"/>
            </c:ext>
          </c:extLst>
        </c:ser>
        <c:ser>
          <c:idx val="2"/>
          <c:order val="2"/>
          <c:tx>
            <c:strRef>
              <c:f>'Average cum mass'!$D$4</c:f>
              <c:strCache>
                <c:ptCount val="1"/>
                <c:pt idx="0">
                  <c:v>RDX</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mass'!$D$5:$D$20</c:f>
              <c:numCache>
                <c:formatCode>0.00</c:formatCode>
                <c:ptCount val="16"/>
                <c:pt idx="0" formatCode="General">
                  <c:v>0</c:v>
                </c:pt>
                <c:pt idx="1">
                  <c:v>0.1468524784106352</c:v>
                </c:pt>
                <c:pt idx="2">
                  <c:v>0.2846193127608635</c:v>
                </c:pt>
                <c:pt idx="3">
                  <c:v>0.43384736835395593</c:v>
                </c:pt>
                <c:pt idx="4">
                  <c:v>0.60076774050437654</c:v>
                </c:pt>
                <c:pt idx="5">
                  <c:v>0.80483398103552461</c:v>
                </c:pt>
                <c:pt idx="6">
                  <c:v>0.98409761274021113</c:v>
                </c:pt>
                <c:pt idx="7">
                  <c:v>1.1906145234531764</c:v>
                </c:pt>
                <c:pt idx="8">
                  <c:v>1.383707241329196</c:v>
                </c:pt>
                <c:pt idx="9">
                  <c:v>1.6117474292911651</c:v>
                </c:pt>
                <c:pt idx="10">
                  <c:v>1.8063452544192224</c:v>
                </c:pt>
                <c:pt idx="11">
                  <c:v>1.8797951612929971</c:v>
                </c:pt>
                <c:pt idx="12">
                  <c:v>1.9690701096925434</c:v>
                </c:pt>
                <c:pt idx="13">
                  <c:v>2.074664632165542</c:v>
                </c:pt>
                <c:pt idx="14">
                  <c:v>2.1649995869198877</c:v>
                </c:pt>
                <c:pt idx="15">
                  <c:v>2.3127363019019729</c:v>
                </c:pt>
              </c:numCache>
            </c:numRef>
          </c:yVal>
          <c:smooth val="0"/>
          <c:extLst>
            <c:ext xmlns:c16="http://schemas.microsoft.com/office/drawing/2014/chart" uri="{C3380CC4-5D6E-409C-BE32-E72D297353CC}">
              <c16:uniqueId val="{00000002-48A3-4306-8AD6-4FAF7E8BF9A7}"/>
            </c:ext>
          </c:extLst>
        </c:ser>
        <c:dLbls>
          <c:showLegendKey val="0"/>
          <c:showVal val="0"/>
          <c:showCatName val="0"/>
          <c:showSerName val="0"/>
          <c:showPercent val="0"/>
          <c:showBubbleSize val="0"/>
        </c:dLbls>
        <c:axId val="481193712"/>
        <c:axId val="481183312"/>
      </c:scatterChart>
      <c:valAx>
        <c:axId val="481193712"/>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83312"/>
        <c:crosses val="autoZero"/>
        <c:crossBetween val="midCat"/>
      </c:valAx>
      <c:valAx>
        <c:axId val="481183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Cumulative 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9371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512029746281714E-2"/>
                  <c:y val="-6.2328561202576953E-2"/>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1'!$B$4:$B$8</c:f>
              <c:numCache>
                <c:formatCode>General</c:formatCode>
                <c:ptCount val="5"/>
                <c:pt idx="0">
                  <c:v>0</c:v>
                </c:pt>
                <c:pt idx="1">
                  <c:v>5</c:v>
                </c:pt>
                <c:pt idx="2">
                  <c:v>10</c:v>
                </c:pt>
                <c:pt idx="3">
                  <c:v>15</c:v>
                </c:pt>
                <c:pt idx="4">
                  <c:v>20</c:v>
                </c:pt>
              </c:numCache>
            </c:numRef>
          </c:xVal>
          <c:yVal>
            <c:numRef>
              <c:f>'Sample 1'!$M$4:$M$7</c:f>
              <c:numCache>
                <c:formatCode>0.00</c:formatCode>
                <c:ptCount val="4"/>
                <c:pt idx="0" formatCode="General">
                  <c:v>0</c:v>
                </c:pt>
                <c:pt idx="1">
                  <c:v>2.9825066317282567</c:v>
                </c:pt>
                <c:pt idx="2">
                  <c:v>4.8356551251599287</c:v>
                </c:pt>
                <c:pt idx="3">
                  <c:v>6.0269020755042417</c:v>
                </c:pt>
              </c:numCache>
            </c:numRef>
          </c:yVal>
          <c:smooth val="0"/>
          <c:extLst>
            <c:ext xmlns:c16="http://schemas.microsoft.com/office/drawing/2014/chart" uri="{C3380CC4-5D6E-409C-BE32-E72D297353CC}">
              <c16:uniqueId val="{00000000-8C23-4656-BA40-E8C1705B7057}"/>
            </c:ext>
          </c:extLst>
        </c:ser>
        <c:ser>
          <c:idx val="1"/>
          <c:order val="1"/>
          <c:tx>
            <c:v>DNAN</c:v>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1'!$B$4:$B$14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 1'!$N$4:$N$14</c:f>
              <c:numCache>
                <c:formatCode>0.00</c:formatCode>
                <c:ptCount val="11"/>
                <c:pt idx="0" formatCode="General">
                  <c:v>0</c:v>
                </c:pt>
                <c:pt idx="1">
                  <c:v>0.31108924070514693</c:v>
                </c:pt>
                <c:pt idx="2">
                  <c:v>0.71295210910504259</c:v>
                </c:pt>
                <c:pt idx="3">
                  <c:v>1.1663296046725837</c:v>
                </c:pt>
                <c:pt idx="4">
                  <c:v>1.6190366366555033</c:v>
                </c:pt>
                <c:pt idx="5">
                  <c:v>2.0425702951245612</c:v>
                </c:pt>
                <c:pt idx="6">
                  <c:v>2.4533127022292738</c:v>
                </c:pt>
                <c:pt idx="7">
                  <c:v>2.8636396137770936</c:v>
                </c:pt>
                <c:pt idx="8">
                  <c:v>3.2844637039916087</c:v>
                </c:pt>
                <c:pt idx="9">
                  <c:v>3.7086576998067287</c:v>
                </c:pt>
                <c:pt idx="10">
                  <c:v>4.1144186370920934</c:v>
                </c:pt>
              </c:numCache>
            </c:numRef>
          </c:yVal>
          <c:smooth val="0"/>
          <c:extLst>
            <c:ext xmlns:c16="http://schemas.microsoft.com/office/drawing/2014/chart" uri="{C3380CC4-5D6E-409C-BE32-E72D297353CC}">
              <c16:uniqueId val="{00000001-8C23-4656-BA40-E8C1705B7057}"/>
            </c:ext>
          </c:extLst>
        </c:ser>
        <c:ser>
          <c:idx val="2"/>
          <c:order val="2"/>
          <c:tx>
            <c:v>RDX</c:v>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1'!$B$4:$B$14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 1'!$O$4:$O$14</c:f>
              <c:numCache>
                <c:formatCode>0.00</c:formatCode>
                <c:ptCount val="11"/>
                <c:pt idx="0" formatCode="General">
                  <c:v>0</c:v>
                </c:pt>
                <c:pt idx="1">
                  <c:v>0.1468524784106352</c:v>
                </c:pt>
                <c:pt idx="2">
                  <c:v>0.2846193127608635</c:v>
                </c:pt>
                <c:pt idx="3">
                  <c:v>0.43384736835395593</c:v>
                </c:pt>
                <c:pt idx="4">
                  <c:v>0.60076774050437654</c:v>
                </c:pt>
                <c:pt idx="5">
                  <c:v>0.80483398103552461</c:v>
                </c:pt>
                <c:pt idx="6">
                  <c:v>0.98409761274021113</c:v>
                </c:pt>
                <c:pt idx="7">
                  <c:v>1.1906145234531764</c:v>
                </c:pt>
                <c:pt idx="8">
                  <c:v>1.383707241329196</c:v>
                </c:pt>
                <c:pt idx="9">
                  <c:v>1.6117474292911651</c:v>
                </c:pt>
                <c:pt idx="10">
                  <c:v>1.8063452544192224</c:v>
                </c:pt>
              </c:numCache>
            </c:numRef>
          </c:yVal>
          <c:smooth val="0"/>
          <c:extLst>
            <c:ext xmlns:c16="http://schemas.microsoft.com/office/drawing/2014/chart" uri="{C3380CC4-5D6E-409C-BE32-E72D297353CC}">
              <c16:uniqueId val="{00000002-8C23-4656-BA40-E8C1705B7057}"/>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8.7076115485564307E-2"/>
                  <c:y val="-2.7681818181818203E-2"/>
                </c:manualLayout>
              </c:layout>
              <c:numFmt formatCode="General" sourceLinked="0"/>
              <c:spPr>
                <a:solidFill>
                  <a:schemeClr val="lt1"/>
                </a:solidFill>
                <a:ln w="12700" cap="flat" cmpd="sng" algn="ctr">
                  <a:solidFill>
                    <a:schemeClr val="accent5"/>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1'!$B$7:$B$14</c:f>
              <c:numCache>
                <c:formatCode>General</c:formatCode>
                <c:ptCount val="8"/>
                <c:pt idx="0">
                  <c:v>15</c:v>
                </c:pt>
                <c:pt idx="1">
                  <c:v>20</c:v>
                </c:pt>
                <c:pt idx="2">
                  <c:v>25</c:v>
                </c:pt>
                <c:pt idx="3">
                  <c:v>30</c:v>
                </c:pt>
                <c:pt idx="4">
                  <c:v>35</c:v>
                </c:pt>
                <c:pt idx="5">
                  <c:v>40</c:v>
                </c:pt>
                <c:pt idx="6">
                  <c:v>45</c:v>
                </c:pt>
                <c:pt idx="7">
                  <c:v>50</c:v>
                </c:pt>
              </c:numCache>
            </c:numRef>
          </c:xVal>
          <c:yVal>
            <c:numRef>
              <c:f>'Sample 1'!$M$7:$M$14</c:f>
              <c:numCache>
                <c:formatCode>0.00</c:formatCode>
                <c:ptCount val="8"/>
                <c:pt idx="0">
                  <c:v>6.0269020755042417</c:v>
                </c:pt>
                <c:pt idx="1">
                  <c:v>6.8820133802988765</c:v>
                </c:pt>
                <c:pt idx="2">
                  <c:v>7.5115449644205894</c:v>
                </c:pt>
                <c:pt idx="3">
                  <c:v>8.0299187535905059</c:v>
                </c:pt>
                <c:pt idx="4">
                  <c:v>8.6342783052760286</c:v>
                </c:pt>
                <c:pt idx="5">
                  <c:v>9.246699196545288</c:v>
                </c:pt>
                <c:pt idx="6">
                  <c:v>9.9749662139604318</c:v>
                </c:pt>
                <c:pt idx="7">
                  <c:v>10.708046332264997</c:v>
                </c:pt>
              </c:numCache>
            </c:numRef>
          </c:yVal>
          <c:smooth val="0"/>
          <c:extLst>
            <c:ext xmlns:c16="http://schemas.microsoft.com/office/drawing/2014/chart" uri="{C3380CC4-5D6E-409C-BE32-E72D297353CC}">
              <c16:uniqueId val="{00000003-8C23-4656-BA40-E8C1705B7057}"/>
            </c:ext>
          </c:extLst>
        </c:ser>
        <c:ser>
          <c:idx val="4"/>
          <c:order val="4"/>
          <c:tx>
            <c:v>RDX2</c:v>
          </c:tx>
          <c:spPr>
            <a:ln w="25400" cap="rnd">
              <a:noFill/>
              <a:round/>
            </a:ln>
            <a:effectLst/>
          </c:spPr>
          <c:marker>
            <c:symbol val="circle"/>
            <c:size val="5"/>
            <c:spPr>
              <a:solidFill>
                <a:schemeClr val="accent3">
                  <a:lumMod val="75000"/>
                </a:schemeClr>
              </a:solidFill>
              <a:ln w="9525">
                <a:solidFill>
                  <a:schemeClr val="accent3">
                    <a:lumMod val="75000"/>
                  </a:schemeClr>
                </a:solidFill>
              </a:ln>
              <a:effectLst/>
            </c:spPr>
          </c:marker>
          <c:trendline>
            <c:spPr>
              <a:ln w="19050" cap="rnd">
                <a:solidFill>
                  <a:schemeClr val="accent3">
                    <a:lumMod val="75000"/>
                  </a:schemeClr>
                </a:solidFill>
                <a:prstDash val="sysDot"/>
              </a:ln>
              <a:effectLst/>
            </c:spPr>
            <c:trendlineType val="linear"/>
            <c:dispRSqr val="1"/>
            <c:dispEq val="1"/>
            <c:trendlineLbl>
              <c:layout>
                <c:manualLayout>
                  <c:x val="4.4184399531747964E-2"/>
                  <c:y val="8.4791325970563852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1'!$B$14:$B$19</c:f>
              <c:numCache>
                <c:formatCode>General</c:formatCode>
                <c:ptCount val="6"/>
                <c:pt idx="0">
                  <c:v>50</c:v>
                </c:pt>
                <c:pt idx="1">
                  <c:v>60</c:v>
                </c:pt>
                <c:pt idx="2">
                  <c:v>70</c:v>
                </c:pt>
                <c:pt idx="3">
                  <c:v>80</c:v>
                </c:pt>
                <c:pt idx="4">
                  <c:v>90</c:v>
                </c:pt>
                <c:pt idx="5">
                  <c:v>100</c:v>
                </c:pt>
              </c:numCache>
            </c:numRef>
          </c:xVal>
          <c:yVal>
            <c:numRef>
              <c:f>'Sample 1'!$O$14:$O$19</c:f>
              <c:numCache>
                <c:formatCode>0.00</c:formatCode>
                <c:ptCount val="6"/>
                <c:pt idx="0">
                  <c:v>1.8063452544192224</c:v>
                </c:pt>
                <c:pt idx="1">
                  <c:v>1.8797951612929971</c:v>
                </c:pt>
                <c:pt idx="2">
                  <c:v>1.9690701096925434</c:v>
                </c:pt>
                <c:pt idx="3">
                  <c:v>2.074664632165542</c:v>
                </c:pt>
                <c:pt idx="4">
                  <c:v>2.1649995869198877</c:v>
                </c:pt>
                <c:pt idx="5">
                  <c:v>2.3127363019019729</c:v>
                </c:pt>
              </c:numCache>
            </c:numRef>
          </c:yVal>
          <c:smooth val="0"/>
          <c:extLst>
            <c:ext xmlns:c16="http://schemas.microsoft.com/office/drawing/2014/chart" uri="{C3380CC4-5D6E-409C-BE32-E72D297353CC}">
              <c16:uniqueId val="{00000004-33E2-42DA-AC40-49FB8658A40F}"/>
            </c:ext>
          </c:extLst>
        </c:ser>
        <c:ser>
          <c:idx val="5"/>
          <c:order val="5"/>
          <c:tx>
            <c:v>DNAN2</c:v>
          </c:tx>
          <c:spPr>
            <a:ln w="25400" cap="rnd">
              <a:noFill/>
              <a:round/>
            </a:ln>
            <a:effectLst/>
          </c:spPr>
          <c:marker>
            <c:symbol val="circle"/>
            <c:size val="5"/>
            <c:spPr>
              <a:solidFill>
                <a:schemeClr val="accent2">
                  <a:lumMod val="75000"/>
                </a:schemeClr>
              </a:solidFill>
              <a:ln w="9525">
                <a:solidFill>
                  <a:schemeClr val="accent2">
                    <a:lumMod val="75000"/>
                  </a:schemeClr>
                </a:solidFill>
              </a:ln>
              <a:effectLst/>
            </c:spPr>
          </c:marker>
          <c:trendline>
            <c:spPr>
              <a:ln w="19050" cap="rnd">
                <a:solidFill>
                  <a:schemeClr val="accent2">
                    <a:lumMod val="75000"/>
                  </a:schemeClr>
                </a:solidFill>
                <a:prstDash val="sysDot"/>
              </a:ln>
              <a:effectLst/>
            </c:spPr>
            <c:trendlineType val="linear"/>
            <c:dispRSqr val="1"/>
            <c:dispEq val="1"/>
            <c:trendlineLbl>
              <c:layout>
                <c:manualLayout>
                  <c:x val="8.1422602669927652E-2"/>
                  <c:y val="-7.7535619077488294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1'!$B$14:$B$19</c:f>
              <c:numCache>
                <c:formatCode>General</c:formatCode>
                <c:ptCount val="6"/>
                <c:pt idx="0">
                  <c:v>50</c:v>
                </c:pt>
                <c:pt idx="1">
                  <c:v>60</c:v>
                </c:pt>
                <c:pt idx="2">
                  <c:v>70</c:v>
                </c:pt>
                <c:pt idx="3">
                  <c:v>80</c:v>
                </c:pt>
                <c:pt idx="4">
                  <c:v>90</c:v>
                </c:pt>
                <c:pt idx="5">
                  <c:v>100</c:v>
                </c:pt>
              </c:numCache>
            </c:numRef>
          </c:xVal>
          <c:yVal>
            <c:numRef>
              <c:f>'Sample 1'!$N$14:$N$19</c:f>
              <c:numCache>
                <c:formatCode>0.00</c:formatCode>
                <c:ptCount val="6"/>
                <c:pt idx="0">
                  <c:v>4.1144186370920934</c:v>
                </c:pt>
                <c:pt idx="1">
                  <c:v>4.3676739169493795</c:v>
                </c:pt>
                <c:pt idx="2">
                  <c:v>4.6390850003337194</c:v>
                </c:pt>
                <c:pt idx="3">
                  <c:v>4.8973310989677836</c:v>
                </c:pt>
                <c:pt idx="4">
                  <c:v>5.1212319679143237</c:v>
                </c:pt>
                <c:pt idx="5">
                  <c:v>5.397251319107883</c:v>
                </c:pt>
              </c:numCache>
            </c:numRef>
          </c:yVal>
          <c:smooth val="0"/>
          <c:extLst>
            <c:ext xmlns:c16="http://schemas.microsoft.com/office/drawing/2014/chart" uri="{C3380CC4-5D6E-409C-BE32-E72D297353CC}">
              <c16:uniqueId val="{00000005-33E2-42DA-AC40-49FB8658A40F}"/>
            </c:ext>
          </c:extLst>
        </c:ser>
        <c:ser>
          <c:idx val="6"/>
          <c:order val="6"/>
          <c:tx>
            <c:v>NTO3</c:v>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linear"/>
            <c:dispRSqr val="1"/>
            <c:dispEq val="1"/>
            <c:trendlineLbl>
              <c:layout>
                <c:manualLayout>
                  <c:x val="-7.9536920240428785E-2"/>
                  <c:y val="-7.4326821837406749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1'!$B$14:$B$19</c:f>
              <c:numCache>
                <c:formatCode>General</c:formatCode>
                <c:ptCount val="6"/>
                <c:pt idx="0">
                  <c:v>50</c:v>
                </c:pt>
                <c:pt idx="1">
                  <c:v>60</c:v>
                </c:pt>
                <c:pt idx="2">
                  <c:v>70</c:v>
                </c:pt>
                <c:pt idx="3">
                  <c:v>80</c:v>
                </c:pt>
                <c:pt idx="4">
                  <c:v>90</c:v>
                </c:pt>
                <c:pt idx="5">
                  <c:v>100</c:v>
                </c:pt>
              </c:numCache>
            </c:numRef>
          </c:xVal>
          <c:yVal>
            <c:numRef>
              <c:f>'Sample 1'!$M$14:$M$19</c:f>
              <c:numCache>
                <c:formatCode>0.00</c:formatCode>
                <c:ptCount val="6"/>
                <c:pt idx="0">
                  <c:v>10.708046332264997</c:v>
                </c:pt>
                <c:pt idx="1">
                  <c:v>11.050093639819375</c:v>
                </c:pt>
                <c:pt idx="2">
                  <c:v>11.518776077857598</c:v>
                </c:pt>
                <c:pt idx="3">
                  <c:v>11.910046619464296</c:v>
                </c:pt>
                <c:pt idx="4">
                  <c:v>12.227504919707677</c:v>
                </c:pt>
                <c:pt idx="5">
                  <c:v>12.68909073339918</c:v>
                </c:pt>
              </c:numCache>
            </c:numRef>
          </c:yVal>
          <c:smooth val="0"/>
          <c:extLst>
            <c:ext xmlns:c16="http://schemas.microsoft.com/office/drawing/2014/chart" uri="{C3380CC4-5D6E-409C-BE32-E72D297353CC}">
              <c16:uniqueId val="{00000006-33E2-42DA-AC40-49FB8658A40F}"/>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Flake 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'Average cum mass'!$E$4</c:f>
              <c:strCache>
                <c:ptCount val="1"/>
                <c:pt idx="0">
                  <c:v>NTO</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mass'!$E$5:$E$20</c:f>
              <c:numCache>
                <c:formatCode>0.00</c:formatCode>
                <c:ptCount val="16"/>
                <c:pt idx="0" formatCode="General">
                  <c:v>0</c:v>
                </c:pt>
                <c:pt idx="1">
                  <c:v>0.88424606186784616</c:v>
                </c:pt>
                <c:pt idx="2">
                  <c:v>1.5397301597862838</c:v>
                </c:pt>
                <c:pt idx="3">
                  <c:v>2.0475262673245185</c:v>
                </c:pt>
                <c:pt idx="4">
                  <c:v>2.4638753099080333</c:v>
                </c:pt>
                <c:pt idx="5">
                  <c:v>2.8140823587675516</c:v>
                </c:pt>
                <c:pt idx="6">
                  <c:v>3.0492213772875139</c:v>
                </c:pt>
                <c:pt idx="7">
                  <c:v>3.3252764784947817</c:v>
                </c:pt>
                <c:pt idx="8">
                  <c:v>3.5913141635467727</c:v>
                </c:pt>
                <c:pt idx="9">
                  <c:v>3.8866715085032819</c:v>
                </c:pt>
                <c:pt idx="10">
                  <c:v>4.1987960402635665</c:v>
                </c:pt>
                <c:pt idx="11">
                  <c:v>4.5408433478179449</c:v>
                </c:pt>
                <c:pt idx="12">
                  <c:v>5.3854669405824964</c:v>
                </c:pt>
                <c:pt idx="13">
                  <c:v>5.3854669405824964</c:v>
                </c:pt>
                <c:pt idx="14">
                  <c:v>5.6951823554540875</c:v>
                </c:pt>
                <c:pt idx="15">
                  <c:v>6.1453709885606154</c:v>
                </c:pt>
              </c:numCache>
            </c:numRef>
          </c:yVal>
          <c:smooth val="0"/>
          <c:extLst>
            <c:ext xmlns:c16="http://schemas.microsoft.com/office/drawing/2014/chart" uri="{C3380CC4-5D6E-409C-BE32-E72D297353CC}">
              <c16:uniqueId val="{00000000-63DD-4D84-809F-F183847F8596}"/>
            </c:ext>
          </c:extLst>
        </c:ser>
        <c:ser>
          <c:idx val="1"/>
          <c:order val="1"/>
          <c:tx>
            <c:strRef>
              <c:f>'Average cum mass'!$F$4</c:f>
              <c:strCache>
                <c:ptCount val="1"/>
                <c:pt idx="0">
                  <c:v>DNAN</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mass'!$F$5:$F$20</c:f>
              <c:numCache>
                <c:formatCode>0.00</c:formatCode>
                <c:ptCount val="16"/>
                <c:pt idx="0" formatCode="General">
                  <c:v>0</c:v>
                </c:pt>
                <c:pt idx="1">
                  <c:v>0.22794275024161259</c:v>
                </c:pt>
                <c:pt idx="2">
                  <c:v>0.45118443945878783</c:v>
                </c:pt>
                <c:pt idx="3">
                  <c:v>0.68627416747204206</c:v>
                </c:pt>
                <c:pt idx="4">
                  <c:v>0.89591190321689917</c:v>
                </c:pt>
                <c:pt idx="5">
                  <c:v>1.1079771110037278</c:v>
                </c:pt>
                <c:pt idx="6">
                  <c:v>1.2484811148695292</c:v>
                </c:pt>
                <c:pt idx="7">
                  <c:v>1.4466435862211791</c:v>
                </c:pt>
                <c:pt idx="8">
                  <c:v>1.6315615898108518</c:v>
                </c:pt>
                <c:pt idx="9">
                  <c:v>1.8305615677205576</c:v>
                </c:pt>
                <c:pt idx="10">
                  <c:v>2.0065782735054531</c:v>
                </c:pt>
                <c:pt idx="11">
                  <c:v>2.2598335533627387</c:v>
                </c:pt>
                <c:pt idx="12">
                  <c:v>2.7798412959327488</c:v>
                </c:pt>
                <c:pt idx="13">
                  <c:v>2.7798412959327488</c:v>
                </c:pt>
                <c:pt idx="14">
                  <c:v>2.9982811680757142</c:v>
                </c:pt>
                <c:pt idx="15">
                  <c:v>3.2674852266472101</c:v>
                </c:pt>
              </c:numCache>
            </c:numRef>
          </c:yVal>
          <c:smooth val="0"/>
          <c:extLst>
            <c:ext xmlns:c16="http://schemas.microsoft.com/office/drawing/2014/chart" uri="{C3380CC4-5D6E-409C-BE32-E72D297353CC}">
              <c16:uniqueId val="{00000001-63DD-4D84-809F-F183847F8596}"/>
            </c:ext>
          </c:extLst>
        </c:ser>
        <c:ser>
          <c:idx val="2"/>
          <c:order val="2"/>
          <c:tx>
            <c:strRef>
              <c:f>'Average cum mass'!$G$4</c:f>
              <c:strCache>
                <c:ptCount val="1"/>
                <c:pt idx="0">
                  <c:v>RDX</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mass'!$G$5:$G$20</c:f>
              <c:numCache>
                <c:formatCode>0.00</c:formatCode>
                <c:ptCount val="16"/>
                <c:pt idx="0" formatCode="General">
                  <c:v>0</c:v>
                </c:pt>
                <c:pt idx="1">
                  <c:v>0.12333698075772755</c:v>
                </c:pt>
                <c:pt idx="2">
                  <c:v>0.23161203423583537</c:v>
                </c:pt>
                <c:pt idx="3">
                  <c:v>0.33278945158169659</c:v>
                </c:pt>
                <c:pt idx="4">
                  <c:v>0.42017954957771375</c:v>
                </c:pt>
                <c:pt idx="5">
                  <c:v>0.51534661740198551</c:v>
                </c:pt>
                <c:pt idx="6">
                  <c:v>0.59381289234715351</c:v>
                </c:pt>
                <c:pt idx="7">
                  <c:v>0.68701435994889726</c:v>
                </c:pt>
                <c:pt idx="8">
                  <c:v>0.76716829025135314</c:v>
                </c:pt>
                <c:pt idx="9">
                  <c:v>0.879930825790602</c:v>
                </c:pt>
                <c:pt idx="10">
                  <c:v>0.99271550286652488</c:v>
                </c:pt>
                <c:pt idx="11">
                  <c:v>1.0661654097402995</c:v>
                </c:pt>
                <c:pt idx="12">
                  <c:v>1.257357244598182</c:v>
                </c:pt>
                <c:pt idx="13">
                  <c:v>1.257357244598182</c:v>
                </c:pt>
                <c:pt idx="14">
                  <c:v>1.3454889077731533</c:v>
                </c:pt>
                <c:pt idx="15">
                  <c:v>1.4895778026322239</c:v>
                </c:pt>
              </c:numCache>
            </c:numRef>
          </c:yVal>
          <c:smooth val="0"/>
          <c:extLst>
            <c:ext xmlns:c16="http://schemas.microsoft.com/office/drawing/2014/chart" uri="{C3380CC4-5D6E-409C-BE32-E72D297353CC}">
              <c16:uniqueId val="{00000002-63DD-4D84-809F-F183847F8596}"/>
            </c:ext>
          </c:extLst>
        </c:ser>
        <c:dLbls>
          <c:showLegendKey val="0"/>
          <c:showVal val="0"/>
          <c:showCatName val="0"/>
          <c:showSerName val="0"/>
          <c:showPercent val="0"/>
          <c:showBubbleSize val="0"/>
        </c:dLbls>
        <c:axId val="481193712"/>
        <c:axId val="481183312"/>
      </c:scatterChart>
      <c:valAx>
        <c:axId val="481193712"/>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83312"/>
        <c:crosses val="autoZero"/>
        <c:crossBetween val="midCat"/>
      </c:valAx>
      <c:valAx>
        <c:axId val="481183312"/>
        <c:scaling>
          <c:orientation val="minMax"/>
          <c:max val="7"/>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Cumulative 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9371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Flake 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548381452318461"/>
          <c:y val="0.17171296296296296"/>
          <c:w val="0.82496062992125985"/>
          <c:h val="0.67422025371828509"/>
        </c:manualLayout>
      </c:layout>
      <c:scatterChart>
        <c:scatterStyle val="lineMarker"/>
        <c:varyColors val="0"/>
        <c:ser>
          <c:idx val="0"/>
          <c:order val="0"/>
          <c:tx>
            <c:strRef>
              <c:f>'Average cum mass'!$H$4</c:f>
              <c:strCache>
                <c:ptCount val="1"/>
                <c:pt idx="0">
                  <c:v>NTO</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mass'!$H$5:$H$20</c:f>
              <c:numCache>
                <c:formatCode>0.00</c:formatCode>
                <c:ptCount val="16"/>
                <c:pt idx="0">
                  <c:v>0</c:v>
                </c:pt>
                <c:pt idx="1">
                  <c:v>1.4913867858502321</c:v>
                </c:pt>
                <c:pt idx="2">
                  <c:v>2.7194045001885359</c:v>
                </c:pt>
                <c:pt idx="3">
                  <c:v>3.869320903514434</c:v>
                </c:pt>
                <c:pt idx="4">
                  <c:v>4.7944038878755535</c:v>
                </c:pt>
                <c:pt idx="5">
                  <c:v>5.5623420508292378</c:v>
                </c:pt>
                <c:pt idx="6">
                  <c:v>6.2286662265164345</c:v>
                </c:pt>
                <c:pt idx="7">
                  <c:v>6.9209455439991308</c:v>
                </c:pt>
                <c:pt idx="8">
                  <c:v>7.4851661648147552</c:v>
                </c:pt>
                <c:pt idx="9">
                  <c:v>7.7805235097712639</c:v>
                </c:pt>
                <c:pt idx="10">
                  <c:v>8.0926480415315485</c:v>
                </c:pt>
                <c:pt idx="11">
                  <c:v>8.3813741041603524</c:v>
                </c:pt>
                <c:pt idx="12">
                  <c:v>8.9405500429947047</c:v>
                </c:pt>
                <c:pt idx="13">
                  <c:v>10.217433706813159</c:v>
                </c:pt>
                <c:pt idx="14">
                  <c:v>11.022603346618645</c:v>
                </c:pt>
                <c:pt idx="15">
                  <c:v>12.748078361374523</c:v>
                </c:pt>
              </c:numCache>
            </c:numRef>
          </c:yVal>
          <c:smooth val="0"/>
          <c:extLst>
            <c:ext xmlns:c16="http://schemas.microsoft.com/office/drawing/2014/chart" uri="{C3380CC4-5D6E-409C-BE32-E72D297353CC}">
              <c16:uniqueId val="{00000000-B399-4E8B-AB4B-3C54FC6BB9B2}"/>
            </c:ext>
          </c:extLst>
        </c:ser>
        <c:ser>
          <c:idx val="1"/>
          <c:order val="1"/>
          <c:tx>
            <c:strRef>
              <c:f>'Average cum mass'!$I$4</c:f>
              <c:strCache>
                <c:ptCount val="1"/>
                <c:pt idx="0">
                  <c:v>DNAN</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mass'!$I$5:$I$20</c:f>
              <c:numCache>
                <c:formatCode>0.00</c:formatCode>
                <c:ptCount val="16"/>
                <c:pt idx="0">
                  <c:v>0</c:v>
                </c:pt>
                <c:pt idx="1">
                  <c:v>0.24541429794284136</c:v>
                </c:pt>
                <c:pt idx="2">
                  <c:v>0.50830104721800362</c:v>
                </c:pt>
                <c:pt idx="3">
                  <c:v>0.75224635993372913</c:v>
                </c:pt>
                <c:pt idx="4">
                  <c:v>1.0119441950849095</c:v>
                </c:pt>
                <c:pt idx="5">
                  <c:v>1.1794814393207234</c:v>
                </c:pt>
                <c:pt idx="6">
                  <c:v>1.4212956709926825</c:v>
                </c:pt>
                <c:pt idx="7">
                  <c:v>1.6624540791108655</c:v>
                </c:pt>
                <c:pt idx="8">
                  <c:v>1.8876604217865522</c:v>
                </c:pt>
                <c:pt idx="9">
                  <c:v>2.0866603996962581</c:v>
                </c:pt>
                <c:pt idx="10">
                  <c:v>2.2626983673892029</c:v>
                </c:pt>
                <c:pt idx="11">
                  <c:v>2.7505064353564119</c:v>
                </c:pt>
                <c:pt idx="12">
                  <c:v>3.1931669498188002</c:v>
                </c:pt>
                <c:pt idx="13">
                  <c:v>3.8056670152121281</c:v>
                </c:pt>
                <c:pt idx="14">
                  <c:v>4.1173839301118669</c:v>
                </c:pt>
                <c:pt idx="15">
                  <c:v>4.8063314114224536</c:v>
                </c:pt>
              </c:numCache>
            </c:numRef>
          </c:yVal>
          <c:smooth val="0"/>
          <c:extLst>
            <c:ext xmlns:c16="http://schemas.microsoft.com/office/drawing/2014/chart" uri="{C3380CC4-5D6E-409C-BE32-E72D297353CC}">
              <c16:uniqueId val="{00000001-B399-4E8B-AB4B-3C54FC6BB9B2}"/>
            </c:ext>
          </c:extLst>
        </c:ser>
        <c:ser>
          <c:idx val="2"/>
          <c:order val="2"/>
          <c:tx>
            <c:strRef>
              <c:f>'Average cum mass'!$J$4</c:f>
              <c:strCache>
                <c:ptCount val="1"/>
                <c:pt idx="0">
                  <c:v>RDX</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'Average cum mass'!$A$5:$A$20</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'Average cum mass'!$J$5:$J$20</c:f>
              <c:numCache>
                <c:formatCode>0.00</c:formatCode>
                <c:ptCount val="16"/>
                <c:pt idx="0">
                  <c:v>0</c:v>
                </c:pt>
                <c:pt idx="1">
                  <c:v>0.10096619100484686</c:v>
                </c:pt>
                <c:pt idx="2">
                  <c:v>0.238712903424322</c:v>
                </c:pt>
                <c:pt idx="3">
                  <c:v>0.31515763647686962</c:v>
                </c:pt>
                <c:pt idx="4">
                  <c:v>0.4247649050686661</c:v>
                </c:pt>
                <c:pt idx="5">
                  <c:v>0.52661440622684563</c:v>
                </c:pt>
                <c:pt idx="6">
                  <c:v>0.64469208622467944</c:v>
                </c:pt>
                <c:pt idx="7">
                  <c:v>0.76502986847708621</c:v>
                </c:pt>
                <c:pt idx="8">
                  <c:v>0.84533898547906283</c:v>
                </c:pt>
                <c:pt idx="9">
                  <c:v>0.9581015210183117</c:v>
                </c:pt>
                <c:pt idx="10">
                  <c:v>1.0708861980942346</c:v>
                </c:pt>
                <c:pt idx="11">
                  <c:v>1.2414330983213024</c:v>
                </c:pt>
                <c:pt idx="12">
                  <c:v>1.4469776865380579</c:v>
                </c:pt>
                <c:pt idx="13">
                  <c:v>1.7065610080314875</c:v>
                </c:pt>
                <c:pt idx="14">
                  <c:v>1.8573677317191311</c:v>
                </c:pt>
                <c:pt idx="15">
                  <c:v>2.1917205703253115</c:v>
                </c:pt>
              </c:numCache>
            </c:numRef>
          </c:yVal>
          <c:smooth val="0"/>
          <c:extLst>
            <c:ext xmlns:c16="http://schemas.microsoft.com/office/drawing/2014/chart" uri="{C3380CC4-5D6E-409C-BE32-E72D297353CC}">
              <c16:uniqueId val="{00000002-B399-4E8B-AB4B-3C54FC6BB9B2}"/>
            </c:ext>
          </c:extLst>
        </c:ser>
        <c:dLbls>
          <c:showLegendKey val="0"/>
          <c:showVal val="0"/>
          <c:showCatName val="0"/>
          <c:showSerName val="0"/>
          <c:showPercent val="0"/>
          <c:showBubbleSize val="0"/>
        </c:dLbls>
        <c:axId val="481193712"/>
        <c:axId val="481183312"/>
      </c:scatterChart>
      <c:valAx>
        <c:axId val="481193712"/>
        <c:scaling>
          <c:orientation val="minMax"/>
          <c:max val="10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en-US">
                    <a:latin typeface="Times New Roman" panose="02020603050405020304" pitchFamily="18" charset="0"/>
                    <a:cs typeface="Times New Roman" panose="02020603050405020304" pitchFamily="18" charset="0"/>
                  </a:rPr>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83312"/>
        <c:crosses val="autoZero"/>
        <c:crossBetween val="midCat"/>
      </c:valAx>
      <c:valAx>
        <c:axId val="481183312"/>
        <c:scaling>
          <c:orientation val="minMax"/>
          <c:max val="14"/>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en-US">
                    <a:latin typeface="Times New Roman" panose="02020603050405020304" pitchFamily="18" charset="0"/>
                    <a:cs typeface="Times New Roman" panose="02020603050405020304" pitchFamily="18" charset="0"/>
                  </a:rPr>
                  <a:t>Cumulative 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numFmt formatCode="0" sourceLinked="0"/>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93712"/>
        <c:crosses val="autoZero"/>
        <c:crossBetween val="midCat"/>
      </c:valAx>
      <c:spPr>
        <a:noFill/>
        <a:ln>
          <a:noFill/>
        </a:ln>
        <a:effectLst/>
      </c:spPr>
    </c:plotArea>
    <c:legend>
      <c:legendPos val="b"/>
      <c:layout>
        <c:manualLayout>
          <c:xMode val="edge"/>
          <c:yMode val="edge"/>
          <c:x val="0.20453871391076114"/>
          <c:y val="0.19965223097112858"/>
          <c:w val="0.4187003499562554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NTO</a:t>
            </a:r>
          </a:p>
        </c:rich>
      </c:tx>
      <c:overlay val="0"/>
      <c:spPr>
        <a:noFill/>
        <a:ln>
          <a:noFill/>
        </a:ln>
        <a:effectLst/>
      </c:spPr>
    </c:title>
    <c:autoTitleDeleted val="0"/>
    <c:plotArea>
      <c:layout/>
      <c:scatterChart>
        <c:scatterStyle val="smoothMarker"/>
        <c:varyColors val="0"/>
        <c:ser>
          <c:idx val="1"/>
          <c:order val="0"/>
          <c:tx>
            <c:strRef>
              <c:f>'GS simulation'!$D$6</c:f>
              <c:strCache>
                <c:ptCount val="1"/>
                <c:pt idx="0">
                  <c:v>Max</c:v>
                </c:pt>
              </c:strCache>
            </c:strRef>
          </c:tx>
          <c:spPr>
            <a:ln>
              <a:solidFill>
                <a:schemeClr val="accent6"/>
              </a:solidFill>
              <a:prstDash val="dashDot"/>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simulation'!$J$8:$J$23</c:f>
              <c:numCache>
                <c:formatCode>0</c:formatCode>
                <c:ptCount val="16"/>
                <c:pt idx="0">
                  <c:v>0</c:v>
                </c:pt>
                <c:pt idx="1">
                  <c:v>5.4370620968201102</c:v>
                </c:pt>
                <c:pt idx="2">
                  <c:v>10.87412419364022</c:v>
                </c:pt>
                <c:pt idx="3">
                  <c:v>16.311186290460331</c:v>
                </c:pt>
                <c:pt idx="4">
                  <c:v>18.267514738049332</c:v>
                </c:pt>
                <c:pt idx="5">
                  <c:v>20.223843185638337</c:v>
                </c:pt>
                <c:pt idx="6">
                  <c:v>22.180171633227342</c:v>
                </c:pt>
                <c:pt idx="7">
                  <c:v>24.136500080816344</c:v>
                </c:pt>
                <c:pt idx="8">
                  <c:v>26.092828528405349</c:v>
                </c:pt>
                <c:pt idx="9">
                  <c:v>28.049156975994354</c:v>
                </c:pt>
                <c:pt idx="10">
                  <c:v>30.005485423583359</c:v>
                </c:pt>
                <c:pt idx="11">
                  <c:v>32.414471349271885</c:v>
                </c:pt>
                <c:pt idx="12">
                  <c:v>34.823457274960418</c:v>
                </c:pt>
                <c:pt idx="13">
                  <c:v>37.232443200648937</c:v>
                </c:pt>
                <c:pt idx="14">
                  <c:v>39.641429126337471</c:v>
                </c:pt>
                <c:pt idx="15">
                  <c:v>42.050415052025997</c:v>
                </c:pt>
              </c:numCache>
            </c:numRef>
          </c:yVal>
          <c:smooth val="1"/>
          <c:extLst>
            <c:ext xmlns:c16="http://schemas.microsoft.com/office/drawing/2014/chart" uri="{C3380CC4-5D6E-409C-BE32-E72D297353CC}">
              <c16:uniqueId val="{00000005-F20B-4258-9543-99601CE7A31F}"/>
            </c:ext>
          </c:extLst>
        </c:ser>
        <c:ser>
          <c:idx val="2"/>
          <c:order val="1"/>
          <c:tx>
            <c:v>Mean</c:v>
          </c:tx>
          <c:spPr>
            <a:ln>
              <a:solidFill>
                <a:schemeClr val="tx1"/>
              </a:solidFill>
              <a:prstDash val="sysDot"/>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simulation'!$I$8:$I$23</c:f>
              <c:numCache>
                <c:formatCode>0</c:formatCode>
                <c:ptCount val="16"/>
                <c:pt idx="0">
                  <c:v>0</c:v>
                </c:pt>
                <c:pt idx="1">
                  <c:v>3.8642034888782795</c:v>
                </c:pt>
                <c:pt idx="2">
                  <c:v>7.7284069777565483</c:v>
                </c:pt>
                <c:pt idx="3">
                  <c:v>11.592610466634827</c:v>
                </c:pt>
                <c:pt idx="4">
                  <c:v>13.12685133396713</c:v>
                </c:pt>
                <c:pt idx="5">
                  <c:v>14.661092201299432</c:v>
                </c:pt>
                <c:pt idx="6">
                  <c:v>16.195333068631733</c:v>
                </c:pt>
                <c:pt idx="7">
                  <c:v>17.729573935964037</c:v>
                </c:pt>
                <c:pt idx="8">
                  <c:v>19.263814803296338</c:v>
                </c:pt>
                <c:pt idx="9">
                  <c:v>20.798055670628642</c:v>
                </c:pt>
                <c:pt idx="10">
                  <c:v>22.332296537960943</c:v>
                </c:pt>
                <c:pt idx="11">
                  <c:v>23.992582964934776</c:v>
                </c:pt>
                <c:pt idx="12">
                  <c:v>25.652869391908613</c:v>
                </c:pt>
                <c:pt idx="13">
                  <c:v>27.313155818882446</c:v>
                </c:pt>
                <c:pt idx="14">
                  <c:v>28.97344224585628</c:v>
                </c:pt>
                <c:pt idx="15">
                  <c:v>30.633728672830117</c:v>
                </c:pt>
              </c:numCache>
            </c:numRef>
          </c:yVal>
          <c:smooth val="1"/>
          <c:extLst>
            <c:ext xmlns:c16="http://schemas.microsoft.com/office/drawing/2014/chart" uri="{C3380CC4-5D6E-409C-BE32-E72D297353CC}">
              <c16:uniqueId val="{00000006-F20B-4258-9543-99601CE7A31F}"/>
            </c:ext>
          </c:extLst>
        </c:ser>
        <c:ser>
          <c:idx val="3"/>
          <c:order val="2"/>
          <c:tx>
            <c:v>Min</c:v>
          </c:tx>
          <c:spPr>
            <a:ln>
              <a:solidFill>
                <a:srgbClr val="FF0000"/>
              </a:solidFill>
              <a:prstDash val="dash"/>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simulation'!$K$8:$K$23</c:f>
              <c:numCache>
                <c:formatCode>0</c:formatCode>
                <c:ptCount val="16"/>
                <c:pt idx="0">
                  <c:v>0</c:v>
                </c:pt>
                <c:pt idx="1">
                  <c:v>2.2913448809364487</c:v>
                </c:pt>
                <c:pt idx="2">
                  <c:v>4.5826897618728974</c:v>
                </c:pt>
                <c:pt idx="3">
                  <c:v>6.8740346428093364</c:v>
                </c:pt>
                <c:pt idx="4">
                  <c:v>7.9861879298849372</c:v>
                </c:pt>
                <c:pt idx="5">
                  <c:v>9.098341216960538</c:v>
                </c:pt>
                <c:pt idx="6">
                  <c:v>10.21049450403614</c:v>
                </c:pt>
                <c:pt idx="7">
                  <c:v>11.32264779111174</c:v>
                </c:pt>
                <c:pt idx="8">
                  <c:v>12.434801078187341</c:v>
                </c:pt>
                <c:pt idx="9">
                  <c:v>13.546954365262941</c:v>
                </c:pt>
                <c:pt idx="10">
                  <c:v>14.659107652338543</c:v>
                </c:pt>
                <c:pt idx="11">
                  <c:v>15.114901116468106</c:v>
                </c:pt>
                <c:pt idx="12">
                  <c:v>15.570694580597671</c:v>
                </c:pt>
                <c:pt idx="13">
                  <c:v>16.026488044727234</c:v>
                </c:pt>
                <c:pt idx="14">
                  <c:v>16.482281508856801</c:v>
                </c:pt>
                <c:pt idx="15">
                  <c:v>16.938074972986364</c:v>
                </c:pt>
              </c:numCache>
            </c:numRef>
          </c:yVal>
          <c:smooth val="1"/>
          <c:extLst>
            <c:ext xmlns:c16="http://schemas.microsoft.com/office/drawing/2014/chart" uri="{C3380CC4-5D6E-409C-BE32-E72D297353CC}">
              <c16:uniqueId val="{00000007-F20B-4258-9543-99601CE7A31F}"/>
            </c:ext>
          </c:extLst>
        </c:ser>
        <c:dLbls>
          <c:showLegendKey val="0"/>
          <c:showVal val="0"/>
          <c:showCatName val="0"/>
          <c:showSerName val="0"/>
          <c:showPercent val="0"/>
          <c:showBubbleSize val="0"/>
        </c:dLbls>
        <c:axId val="1394176736"/>
        <c:axId val="1394175904"/>
      </c:scatterChart>
      <c:scatterChart>
        <c:scatterStyle val="lineMarker"/>
        <c:varyColors val="0"/>
        <c:ser>
          <c:idx val="0"/>
          <c:order val="3"/>
          <c:spPr>
            <a:ln w="19050">
              <a:noFill/>
            </a:ln>
          </c:spPr>
          <c:marker>
            <c:symbol val="circle"/>
            <c:size val="5"/>
            <c:spPr>
              <a:solidFill>
                <a:schemeClr val="tx1"/>
              </a:solidFill>
              <a:ln w="9525">
                <a:solidFill>
                  <a:schemeClr val="tx1"/>
                </a:solidFill>
              </a:ln>
              <a:effectLst/>
            </c:spPr>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simulation'!$L$8:$L$23</c:f>
              <c:numCache>
                <c:formatCode>0</c:formatCode>
                <c:ptCount val="16"/>
                <c:pt idx="0">
                  <c:v>0</c:v>
                </c:pt>
                <c:pt idx="1">
                  <c:v>4.3694679065106987</c:v>
                </c:pt>
                <c:pt idx="2">
                  <c:v>7.9673165949505904</c:v>
                </c:pt>
                <c:pt idx="3">
                  <c:v>11.336343910448942</c:v>
                </c:pt>
                <c:pt idx="4">
                  <c:v>14.046653837675942</c:v>
                </c:pt>
                <c:pt idx="5">
                  <c:v>16.296560561435712</c:v>
                </c:pt>
                <c:pt idx="6">
                  <c:v>18.248758427623443</c:v>
                </c:pt>
                <c:pt idx="7">
                  <c:v>20.276999718736462</c:v>
                </c:pt>
                <c:pt idx="8">
                  <c:v>21.930054391230382</c:v>
                </c:pt>
                <c:pt idx="9">
                  <c:v>22.795392915068742</c:v>
                </c:pt>
                <c:pt idx="10">
                  <c:v>23.709855975423494</c:v>
                </c:pt>
                <c:pt idx="11">
                  <c:v>24.555766155397723</c:v>
                </c:pt>
                <c:pt idx="12">
                  <c:v>26.194040908809047</c:v>
                </c:pt>
                <c:pt idx="13">
                  <c:v>29.935057151099137</c:v>
                </c:pt>
                <c:pt idx="14">
                  <c:v>32.294044728169006</c:v>
                </c:pt>
                <c:pt idx="15">
                  <c:v>37.34934478312001</c:v>
                </c:pt>
              </c:numCache>
            </c:numRef>
          </c:yVal>
          <c:smooth val="0"/>
          <c:extLst>
            <c:ext xmlns:c16="http://schemas.microsoft.com/office/drawing/2014/chart" uri="{C3380CC4-5D6E-409C-BE32-E72D297353CC}">
              <c16:uniqueId val="{00000004-F20B-4258-9543-99601CE7A31F}"/>
            </c:ext>
          </c:extLst>
        </c:ser>
        <c:dLbls>
          <c:showLegendKey val="0"/>
          <c:showVal val="0"/>
          <c:showCatName val="0"/>
          <c:showSerName val="0"/>
          <c:showPercent val="0"/>
          <c:showBubbleSize val="0"/>
        </c:dLbls>
        <c:axId val="1394176736"/>
        <c:axId val="1394175904"/>
      </c:scatterChart>
      <c:valAx>
        <c:axId val="1394176736"/>
        <c:scaling>
          <c:orientation val="minMax"/>
        </c:scaling>
        <c:delete val="0"/>
        <c:axPos val="b"/>
        <c:title>
          <c:tx>
            <c:rich>
              <a:bodyPr/>
              <a:lstStyle/>
              <a:p>
                <a:pPr>
                  <a:defRPr/>
                </a:pPr>
                <a:r>
                  <a:rPr lang="en-US"/>
                  <a:t>Time  (min)</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4175904"/>
        <c:crosses val="autoZero"/>
        <c:crossBetween val="midCat"/>
      </c:valAx>
      <c:valAx>
        <c:axId val="1394175904"/>
        <c:scaling>
          <c:orientation val="minMax"/>
        </c:scaling>
        <c:delete val="0"/>
        <c:axPos val="l"/>
        <c:title>
          <c:tx>
            <c:rich>
              <a:bodyPr/>
              <a:lstStyle/>
              <a:p>
                <a:pPr>
                  <a:defRPr/>
                </a:pPr>
                <a:r>
                  <a:rPr lang="en-US"/>
                  <a:t>Cumulative mass dissolved (%)</a:t>
                </a:r>
              </a:p>
            </c:rich>
          </c:tx>
          <c:overlay val="0"/>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4176736"/>
        <c:crosses val="autoZero"/>
        <c:crossBetween val="midCat"/>
      </c:valAx>
    </c:plotArea>
    <c:plotVisOnly val="1"/>
    <c:dispBlanksAs val="gap"/>
    <c:showDLblsOverMax val="0"/>
  </c:chart>
  <c:spPr>
    <a:ln>
      <a:solidFill>
        <a:schemeClr val="accent6"/>
      </a:solidFill>
    </a:ln>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DNAN</a:t>
            </a:r>
          </a:p>
        </c:rich>
      </c:tx>
      <c:overlay val="0"/>
      <c:spPr>
        <a:noFill/>
        <a:ln>
          <a:noFill/>
        </a:ln>
        <a:effectLst/>
      </c:spPr>
    </c:title>
    <c:autoTitleDeleted val="0"/>
    <c:plotArea>
      <c:layout/>
      <c:scatterChart>
        <c:scatterStyle val="lineMarker"/>
        <c:varyColors val="0"/>
        <c:ser>
          <c:idx val="0"/>
          <c:order val="3"/>
          <c:spPr>
            <a:ln w="19050">
              <a:noFill/>
            </a:ln>
          </c:spPr>
          <c:marker>
            <c:symbol val="circle"/>
            <c:size val="5"/>
            <c:spPr>
              <a:solidFill>
                <a:schemeClr val="tx1"/>
              </a:solidFill>
              <a:ln w="9525">
                <a:solidFill>
                  <a:schemeClr val="tx1"/>
                </a:solidFill>
              </a:ln>
              <a:effectLst/>
            </c:spPr>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simulation'!$L$34:$L$49</c:f>
              <c:numCache>
                <c:formatCode>0</c:formatCode>
                <c:ptCount val="16"/>
                <c:pt idx="0">
                  <c:v>0</c:v>
                </c:pt>
                <c:pt idx="1">
                  <c:v>1.1908690699866138</c:v>
                </c:pt>
                <c:pt idx="2">
                  <c:v>2.4665229387519583</c:v>
                </c:pt>
                <c:pt idx="3">
                  <c:v>3.6502637807343223</c:v>
                </c:pt>
                <c:pt idx="4">
                  <c:v>4.9104434932303453</c:v>
                </c:pt>
                <c:pt idx="5">
                  <c:v>5.7234153693746279</c:v>
                </c:pt>
                <c:pt idx="6">
                  <c:v>6.8968151736834367</c:v>
                </c:pt>
                <c:pt idx="7">
                  <c:v>8.06703260438114</c:v>
                </c:pt>
                <c:pt idx="8">
                  <c:v>9.1598428852220124</c:v>
                </c:pt>
                <c:pt idx="9">
                  <c:v>10.12548718796709</c:v>
                </c:pt>
                <c:pt idx="10">
                  <c:v>10.979708692688291</c:v>
                </c:pt>
                <c:pt idx="11">
                  <c:v>13.346789767839732</c:v>
                </c:pt>
                <c:pt idx="12">
                  <c:v>15.494793040657997</c:v>
                </c:pt>
                <c:pt idx="13">
                  <c:v>18.466940097108541</c:v>
                </c:pt>
                <c:pt idx="14">
                  <c:v>19.979541586334758</c:v>
                </c:pt>
                <c:pt idx="15">
                  <c:v>23.322648541452121</c:v>
                </c:pt>
              </c:numCache>
            </c:numRef>
          </c:yVal>
          <c:smooth val="0"/>
          <c:extLst>
            <c:ext xmlns:c16="http://schemas.microsoft.com/office/drawing/2014/chart" uri="{C3380CC4-5D6E-409C-BE32-E72D297353CC}">
              <c16:uniqueId val="{00000004-B503-4DC9-8CAC-1DA4A240FCF6}"/>
            </c:ext>
          </c:extLst>
        </c:ser>
        <c:dLbls>
          <c:showLegendKey val="0"/>
          <c:showVal val="0"/>
          <c:showCatName val="0"/>
          <c:showSerName val="0"/>
          <c:showPercent val="0"/>
          <c:showBubbleSize val="0"/>
        </c:dLbls>
        <c:axId val="1394186720"/>
        <c:axId val="1394171744"/>
      </c:scatterChart>
      <c:scatterChart>
        <c:scatterStyle val="smoothMarker"/>
        <c:varyColors val="0"/>
        <c:ser>
          <c:idx val="1"/>
          <c:order val="0"/>
          <c:spPr>
            <a:ln>
              <a:solidFill>
                <a:schemeClr val="tx1"/>
              </a:solidFill>
              <a:prstDash val="sysDot"/>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simulation'!$I$34:$I$49</c:f>
              <c:numCache>
                <c:formatCode>0</c:formatCode>
                <c:ptCount val="16"/>
                <c:pt idx="0">
                  <c:v>0</c:v>
                </c:pt>
                <c:pt idx="1">
                  <c:v>1.3676642979173605</c:v>
                </c:pt>
                <c:pt idx="2">
                  <c:v>2.7353285958347211</c:v>
                </c:pt>
                <c:pt idx="3">
                  <c:v>4.1029928937520816</c:v>
                </c:pt>
                <c:pt idx="4">
                  <c:v>5.4706571916694422</c:v>
                </c:pt>
                <c:pt idx="5">
                  <c:v>6.8383214895868027</c:v>
                </c:pt>
                <c:pt idx="6">
                  <c:v>8.2059857875041633</c:v>
                </c:pt>
                <c:pt idx="7">
                  <c:v>9.573650085421523</c:v>
                </c:pt>
                <c:pt idx="8">
                  <c:v>10.941314383338884</c:v>
                </c:pt>
                <c:pt idx="9">
                  <c:v>12.308978681256246</c:v>
                </c:pt>
                <c:pt idx="10">
                  <c:v>13.676642979173605</c:v>
                </c:pt>
                <c:pt idx="11">
                  <c:v>15.288788934571484</c:v>
                </c:pt>
                <c:pt idx="12">
                  <c:v>16.90093488996936</c:v>
                </c:pt>
                <c:pt idx="13">
                  <c:v>18.513080845367242</c:v>
                </c:pt>
                <c:pt idx="14">
                  <c:v>20.12522680076512</c:v>
                </c:pt>
                <c:pt idx="15">
                  <c:v>21.737372756162998</c:v>
                </c:pt>
              </c:numCache>
            </c:numRef>
          </c:yVal>
          <c:smooth val="1"/>
          <c:extLst>
            <c:ext xmlns:c16="http://schemas.microsoft.com/office/drawing/2014/chart" uri="{C3380CC4-5D6E-409C-BE32-E72D297353CC}">
              <c16:uniqueId val="{00000005-B503-4DC9-8CAC-1DA4A240FCF6}"/>
            </c:ext>
          </c:extLst>
        </c:ser>
        <c:ser>
          <c:idx val="2"/>
          <c:order val="1"/>
          <c:spPr>
            <a:ln>
              <a:solidFill>
                <a:schemeClr val="accent6"/>
              </a:solidFill>
              <a:prstDash val="dashDot"/>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simulation'!$J$34:$J$49</c:f>
              <c:numCache>
                <c:formatCode>0</c:formatCode>
                <c:ptCount val="16"/>
                <c:pt idx="0">
                  <c:v>0</c:v>
                </c:pt>
                <c:pt idx="1">
                  <c:v>1.8422423392830625</c:v>
                </c:pt>
                <c:pt idx="2">
                  <c:v>3.6844846785661249</c:v>
                </c:pt>
                <c:pt idx="3">
                  <c:v>5.5267270178491872</c:v>
                </c:pt>
                <c:pt idx="4">
                  <c:v>7.3689693571322499</c:v>
                </c:pt>
                <c:pt idx="5">
                  <c:v>9.2112116964153135</c:v>
                </c:pt>
                <c:pt idx="6">
                  <c:v>11.053454035698374</c:v>
                </c:pt>
                <c:pt idx="7">
                  <c:v>12.895696374981435</c:v>
                </c:pt>
                <c:pt idx="8">
                  <c:v>14.7379387142645</c:v>
                </c:pt>
                <c:pt idx="9">
                  <c:v>16.580181053547562</c:v>
                </c:pt>
                <c:pt idx="10">
                  <c:v>18.422423392830627</c:v>
                </c:pt>
                <c:pt idx="11">
                  <c:v>19.513195519553555</c:v>
                </c:pt>
                <c:pt idx="12">
                  <c:v>20.603967646276484</c:v>
                </c:pt>
                <c:pt idx="13">
                  <c:v>21.694739772999416</c:v>
                </c:pt>
                <c:pt idx="14">
                  <c:v>22.785511899722344</c:v>
                </c:pt>
                <c:pt idx="15">
                  <c:v>23.876284026445276</c:v>
                </c:pt>
              </c:numCache>
            </c:numRef>
          </c:yVal>
          <c:smooth val="1"/>
          <c:extLst>
            <c:ext xmlns:c16="http://schemas.microsoft.com/office/drawing/2014/chart" uri="{C3380CC4-5D6E-409C-BE32-E72D297353CC}">
              <c16:uniqueId val="{00000006-B503-4DC9-8CAC-1DA4A240FCF6}"/>
            </c:ext>
          </c:extLst>
        </c:ser>
        <c:ser>
          <c:idx val="3"/>
          <c:order val="2"/>
          <c:spPr>
            <a:ln>
              <a:solidFill>
                <a:srgbClr val="FF0000"/>
              </a:solidFill>
              <a:prstDash val="dash"/>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simulation'!$K$34:$K$49</c:f>
              <c:numCache>
                <c:formatCode>0</c:formatCode>
                <c:ptCount val="16"/>
                <c:pt idx="0">
                  <c:v>0</c:v>
                </c:pt>
                <c:pt idx="1">
                  <c:v>0.89308625655164131</c:v>
                </c:pt>
                <c:pt idx="2">
                  <c:v>1.7861725131032826</c:v>
                </c:pt>
                <c:pt idx="3">
                  <c:v>2.6792587696549242</c:v>
                </c:pt>
                <c:pt idx="4">
                  <c:v>3.5723450262065652</c:v>
                </c:pt>
                <c:pt idx="5">
                  <c:v>4.4654312827582068</c:v>
                </c:pt>
                <c:pt idx="6">
                  <c:v>5.3585175393098483</c:v>
                </c:pt>
                <c:pt idx="7">
                  <c:v>6.251603795861489</c:v>
                </c:pt>
                <c:pt idx="8">
                  <c:v>7.1446900524131305</c:v>
                </c:pt>
                <c:pt idx="9">
                  <c:v>8.0377763089647729</c:v>
                </c:pt>
                <c:pt idx="10">
                  <c:v>8.9308625655164136</c:v>
                </c:pt>
                <c:pt idx="11">
                  <c:v>9.973610222866311</c:v>
                </c:pt>
                <c:pt idx="12">
                  <c:v>11.016357880216207</c:v>
                </c:pt>
                <c:pt idx="13">
                  <c:v>12.059105537566104</c:v>
                </c:pt>
                <c:pt idx="14">
                  <c:v>13.101853194916002</c:v>
                </c:pt>
                <c:pt idx="15">
                  <c:v>14.144600852265896</c:v>
                </c:pt>
              </c:numCache>
            </c:numRef>
          </c:yVal>
          <c:smooth val="1"/>
          <c:extLst>
            <c:ext xmlns:c16="http://schemas.microsoft.com/office/drawing/2014/chart" uri="{C3380CC4-5D6E-409C-BE32-E72D297353CC}">
              <c16:uniqueId val="{00000007-B503-4DC9-8CAC-1DA4A240FCF6}"/>
            </c:ext>
          </c:extLst>
        </c:ser>
        <c:dLbls>
          <c:showLegendKey val="0"/>
          <c:showVal val="0"/>
          <c:showCatName val="0"/>
          <c:showSerName val="0"/>
          <c:showPercent val="0"/>
          <c:showBubbleSize val="0"/>
        </c:dLbls>
        <c:axId val="1394186720"/>
        <c:axId val="1394171744"/>
      </c:scatterChart>
      <c:valAx>
        <c:axId val="1394186720"/>
        <c:scaling>
          <c:orientation val="minMax"/>
        </c:scaling>
        <c:delete val="0"/>
        <c:axPos val="b"/>
        <c:title>
          <c:tx>
            <c:rich>
              <a:bodyPr/>
              <a:lstStyle/>
              <a:p>
                <a:pPr>
                  <a:defRPr/>
                </a:pPr>
                <a:r>
                  <a:rPr lang="en-US"/>
                  <a:t>Time (min)</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4171744"/>
        <c:crosses val="autoZero"/>
        <c:crossBetween val="midCat"/>
      </c:valAx>
      <c:valAx>
        <c:axId val="1394171744"/>
        <c:scaling>
          <c:orientation val="minMax"/>
        </c:scaling>
        <c:delete val="0"/>
        <c:axPos val="l"/>
        <c:title>
          <c:tx>
            <c:rich>
              <a:bodyPr/>
              <a:lstStyle/>
              <a:p>
                <a:pPr>
                  <a:defRPr/>
                </a:pPr>
                <a:r>
                  <a:rPr lang="en-US"/>
                  <a:t>Cumulative mass dissolved (%)</a:t>
                </a:r>
              </a:p>
            </c:rich>
          </c:tx>
          <c:overlay val="0"/>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4186720"/>
        <c:crosses val="autoZero"/>
        <c:crossBetween val="midCat"/>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RDX</a:t>
            </a:r>
          </a:p>
        </c:rich>
      </c:tx>
      <c:overlay val="0"/>
      <c:spPr>
        <a:noFill/>
        <a:ln>
          <a:noFill/>
        </a:ln>
        <a:effectLst/>
      </c:spPr>
    </c:title>
    <c:autoTitleDeleted val="0"/>
    <c:plotArea>
      <c:layout/>
      <c:scatterChart>
        <c:scatterStyle val="lineMarker"/>
        <c:varyColors val="0"/>
        <c:ser>
          <c:idx val="0"/>
          <c:order val="3"/>
          <c:spPr>
            <a:ln w="19050">
              <a:noFill/>
            </a:ln>
          </c:spPr>
          <c:marker>
            <c:symbol val="circle"/>
            <c:size val="5"/>
            <c:spPr>
              <a:solidFill>
                <a:schemeClr val="tx1"/>
              </a:solidFill>
              <a:ln w="9525">
                <a:solidFill>
                  <a:schemeClr val="tx1"/>
                </a:solidFill>
              </a:ln>
              <a:effectLst/>
            </c:spPr>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simulation'!$X$8:$X$23</c:f>
              <c:numCache>
                <c:formatCode>0</c:formatCode>
                <c:ptCount val="16"/>
                <c:pt idx="0">
                  <c:v>0</c:v>
                </c:pt>
                <c:pt idx="1">
                  <c:v>1.0451986646464477</c:v>
                </c:pt>
                <c:pt idx="2">
                  <c:v>2.4711480685747618</c:v>
                </c:pt>
                <c:pt idx="3">
                  <c:v>3.2625014128040335</c:v>
                </c:pt>
                <c:pt idx="4">
                  <c:v>4.3971522263837075</c:v>
                </c:pt>
                <c:pt idx="5">
                  <c:v>5.4514948884766632</c:v>
                </c:pt>
                <c:pt idx="6">
                  <c:v>6.6738311203382965</c:v>
                </c:pt>
                <c:pt idx="7">
                  <c:v>7.9195638558704582</c:v>
                </c:pt>
                <c:pt idx="8">
                  <c:v>8.7509211747315003</c:v>
                </c:pt>
                <c:pt idx="9">
                  <c:v>9.9182352072288982</c:v>
                </c:pt>
                <c:pt idx="10">
                  <c:v>11.085778448180482</c:v>
                </c:pt>
                <c:pt idx="11">
                  <c:v>12.851274309744332</c:v>
                </c:pt>
                <c:pt idx="12">
                  <c:v>14.979065078033724</c:v>
                </c:pt>
                <c:pt idx="13">
                  <c:v>17.666263023100285</c:v>
                </c:pt>
                <c:pt idx="14">
                  <c:v>19.227409231046906</c:v>
                </c:pt>
                <c:pt idx="15">
                  <c:v>22.688618740427653</c:v>
                </c:pt>
              </c:numCache>
            </c:numRef>
          </c:yVal>
          <c:smooth val="0"/>
          <c:extLst>
            <c:ext xmlns:c16="http://schemas.microsoft.com/office/drawing/2014/chart" uri="{C3380CC4-5D6E-409C-BE32-E72D297353CC}">
              <c16:uniqueId val="{00000000-A948-44D9-88A9-C7D9D5A19731}"/>
            </c:ext>
          </c:extLst>
        </c:ser>
        <c:dLbls>
          <c:showLegendKey val="0"/>
          <c:showVal val="0"/>
          <c:showCatName val="0"/>
          <c:showSerName val="0"/>
          <c:showPercent val="0"/>
          <c:showBubbleSize val="0"/>
        </c:dLbls>
        <c:axId val="1394186720"/>
        <c:axId val="1394171744"/>
      </c:scatterChart>
      <c:scatterChart>
        <c:scatterStyle val="smoothMarker"/>
        <c:varyColors val="0"/>
        <c:ser>
          <c:idx val="1"/>
          <c:order val="0"/>
          <c:spPr>
            <a:ln>
              <a:solidFill>
                <a:schemeClr val="tx1"/>
              </a:solidFill>
              <a:prstDash val="sysDot"/>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simulation'!$U$8:$U$23</c:f>
              <c:numCache>
                <c:formatCode>0</c:formatCode>
                <c:ptCount val="16"/>
                <c:pt idx="0">
                  <c:v>0</c:v>
                </c:pt>
                <c:pt idx="1">
                  <c:v>1.3265154987018466</c:v>
                </c:pt>
                <c:pt idx="2">
                  <c:v>2.6530309974036932</c:v>
                </c:pt>
                <c:pt idx="3">
                  <c:v>3.9795464961055398</c:v>
                </c:pt>
                <c:pt idx="4">
                  <c:v>5.3060619948073864</c:v>
                </c:pt>
                <c:pt idx="5">
                  <c:v>6.632577493509233</c:v>
                </c:pt>
                <c:pt idx="6">
                  <c:v>7.9590929922110796</c:v>
                </c:pt>
                <c:pt idx="7">
                  <c:v>9.2856084909129262</c:v>
                </c:pt>
                <c:pt idx="8">
                  <c:v>10.612123989614773</c:v>
                </c:pt>
                <c:pt idx="9">
                  <c:v>11.938639488316619</c:v>
                </c:pt>
                <c:pt idx="10">
                  <c:v>13.265154987018466</c:v>
                </c:pt>
                <c:pt idx="11">
                  <c:v>15.918185984422177</c:v>
                </c:pt>
                <c:pt idx="12">
                  <c:v>18.571216981825891</c:v>
                </c:pt>
                <c:pt idx="13">
                  <c:v>21.224247979229602</c:v>
                </c:pt>
                <c:pt idx="14">
                  <c:v>23.877278976633313</c:v>
                </c:pt>
                <c:pt idx="15">
                  <c:v>26.530309974037024</c:v>
                </c:pt>
              </c:numCache>
            </c:numRef>
          </c:yVal>
          <c:smooth val="1"/>
          <c:extLst>
            <c:ext xmlns:c16="http://schemas.microsoft.com/office/drawing/2014/chart" uri="{C3380CC4-5D6E-409C-BE32-E72D297353CC}">
              <c16:uniqueId val="{00000001-A948-44D9-88A9-C7D9D5A19731}"/>
            </c:ext>
          </c:extLst>
        </c:ser>
        <c:ser>
          <c:idx val="2"/>
          <c:order val="1"/>
          <c:spPr>
            <a:ln>
              <a:solidFill>
                <a:schemeClr val="accent6"/>
              </a:solidFill>
              <a:prstDash val="dashDot"/>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simulation'!$V$8:$V$23</c:f>
              <c:numCache>
                <c:formatCode>0</c:formatCode>
                <c:ptCount val="16"/>
                <c:pt idx="0">
                  <c:v>0</c:v>
                </c:pt>
                <c:pt idx="1">
                  <c:v>1.7279662150640962</c:v>
                </c:pt>
                <c:pt idx="2">
                  <c:v>3.4559324301281924</c:v>
                </c:pt>
                <c:pt idx="3">
                  <c:v>5.1838986451922882</c:v>
                </c:pt>
                <c:pt idx="4">
                  <c:v>6.9118648602563848</c:v>
                </c:pt>
                <c:pt idx="5">
                  <c:v>8.6398310753204814</c:v>
                </c:pt>
                <c:pt idx="6">
                  <c:v>10.367797290384576</c:v>
                </c:pt>
                <c:pt idx="7">
                  <c:v>12.095763505448673</c:v>
                </c:pt>
                <c:pt idx="8">
                  <c:v>13.82372972051277</c:v>
                </c:pt>
                <c:pt idx="9">
                  <c:v>15.551695935576866</c:v>
                </c:pt>
                <c:pt idx="10">
                  <c:v>17.279662150640963</c:v>
                </c:pt>
                <c:pt idx="11">
                  <c:v>19.312309812682319</c:v>
                </c:pt>
                <c:pt idx="12">
                  <c:v>21.344957474723678</c:v>
                </c:pt>
                <c:pt idx="13">
                  <c:v>23.377605136765034</c:v>
                </c:pt>
                <c:pt idx="14">
                  <c:v>25.41025279880639</c:v>
                </c:pt>
                <c:pt idx="15">
                  <c:v>27.442900460847749</c:v>
                </c:pt>
              </c:numCache>
            </c:numRef>
          </c:yVal>
          <c:smooth val="1"/>
          <c:extLst>
            <c:ext xmlns:c16="http://schemas.microsoft.com/office/drawing/2014/chart" uri="{C3380CC4-5D6E-409C-BE32-E72D297353CC}">
              <c16:uniqueId val="{00000002-A948-44D9-88A9-C7D9D5A19731}"/>
            </c:ext>
          </c:extLst>
        </c:ser>
        <c:ser>
          <c:idx val="3"/>
          <c:order val="2"/>
          <c:spPr>
            <a:ln>
              <a:solidFill>
                <a:srgbClr val="FF0000"/>
              </a:solidFill>
              <a:prstDash val="dash"/>
            </a:ln>
          </c:spPr>
          <c:marker>
            <c:symbol val="none"/>
          </c:marker>
          <c:xVal>
            <c:numRef>
              <c:f>'GS simulation'!$A$8:$A$23</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simulation'!$W$8:$W$23</c:f>
              <c:numCache>
                <c:formatCode>0</c:formatCode>
                <c:ptCount val="16"/>
                <c:pt idx="0">
                  <c:v>0</c:v>
                </c:pt>
                <c:pt idx="1">
                  <c:v>0.92506478233961542</c:v>
                </c:pt>
                <c:pt idx="2">
                  <c:v>1.8501295646792308</c:v>
                </c:pt>
                <c:pt idx="3">
                  <c:v>2.775194347018846</c:v>
                </c:pt>
                <c:pt idx="4">
                  <c:v>3.7002591293584617</c:v>
                </c:pt>
                <c:pt idx="5">
                  <c:v>4.6253239116980769</c:v>
                </c:pt>
                <c:pt idx="6">
                  <c:v>5.5503886940376921</c:v>
                </c:pt>
                <c:pt idx="7">
                  <c:v>6.4754534763773073</c:v>
                </c:pt>
                <c:pt idx="8">
                  <c:v>7.4005182587169234</c:v>
                </c:pt>
                <c:pt idx="9">
                  <c:v>8.3255830410565377</c:v>
                </c:pt>
                <c:pt idx="10">
                  <c:v>9.2506478233961538</c:v>
                </c:pt>
                <c:pt idx="11">
                  <c:v>10.08243950130092</c:v>
                </c:pt>
                <c:pt idx="12">
                  <c:v>10.914231179205684</c:v>
                </c:pt>
                <c:pt idx="13">
                  <c:v>11.746022857110448</c:v>
                </c:pt>
                <c:pt idx="14">
                  <c:v>12.577814535015214</c:v>
                </c:pt>
                <c:pt idx="15">
                  <c:v>13.40960621291998</c:v>
                </c:pt>
              </c:numCache>
            </c:numRef>
          </c:yVal>
          <c:smooth val="1"/>
          <c:extLst>
            <c:ext xmlns:c16="http://schemas.microsoft.com/office/drawing/2014/chart" uri="{C3380CC4-5D6E-409C-BE32-E72D297353CC}">
              <c16:uniqueId val="{00000003-A948-44D9-88A9-C7D9D5A19731}"/>
            </c:ext>
          </c:extLst>
        </c:ser>
        <c:dLbls>
          <c:showLegendKey val="0"/>
          <c:showVal val="0"/>
          <c:showCatName val="0"/>
          <c:showSerName val="0"/>
          <c:showPercent val="0"/>
          <c:showBubbleSize val="0"/>
        </c:dLbls>
        <c:axId val="1394186720"/>
        <c:axId val="1394171744"/>
      </c:scatterChart>
      <c:valAx>
        <c:axId val="1394186720"/>
        <c:scaling>
          <c:orientation val="minMax"/>
        </c:scaling>
        <c:delete val="0"/>
        <c:axPos val="b"/>
        <c:title>
          <c:tx>
            <c:rich>
              <a:bodyPr/>
              <a:lstStyle/>
              <a:p>
                <a:pPr>
                  <a:defRPr/>
                </a:pPr>
                <a:r>
                  <a:rPr lang="en-US"/>
                  <a:t>Time (min)</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4171744"/>
        <c:crosses val="autoZero"/>
        <c:crossBetween val="midCat"/>
      </c:valAx>
      <c:valAx>
        <c:axId val="1394171744"/>
        <c:scaling>
          <c:orientation val="minMax"/>
        </c:scaling>
        <c:delete val="0"/>
        <c:axPos val="l"/>
        <c:title>
          <c:tx>
            <c:rich>
              <a:bodyPr/>
              <a:lstStyle/>
              <a:p>
                <a:pPr>
                  <a:defRPr/>
                </a:pPr>
                <a:r>
                  <a:rPr lang="en-US"/>
                  <a:t>Cumulative mass dissolved (%)</a:t>
                </a:r>
              </a:p>
            </c:rich>
          </c:tx>
          <c:overlay val="0"/>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4186720"/>
        <c:crosses val="autoZero"/>
        <c:crossBetween val="midCat"/>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IMX-104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3"/>
          <c:order val="3"/>
          <c:spPr>
            <a:ln w="25400" cap="rnd">
              <a:noFill/>
              <a:round/>
            </a:ln>
            <a:effectLst/>
          </c:spPr>
          <c:marker>
            <c:symbol val="circle"/>
            <c:size val="5"/>
            <c:spPr>
              <a:solidFill>
                <a:schemeClr val="tx1"/>
              </a:solidFill>
              <a:ln w="9525">
                <a:solidFill>
                  <a:schemeClr val="tx1"/>
                </a:solidFill>
              </a:ln>
              <a:effectLst/>
            </c:spPr>
          </c:marker>
          <c:xVal>
            <c:numRef>
              <c:f>'GS simulation'!$N$33:$N$48</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simulation'!$Y$33:$Y$48</c:f>
              <c:numCache>
                <c:formatCode>0</c:formatCode>
                <c:ptCount val="16"/>
                <c:pt idx="0">
                  <c:v>0</c:v>
                </c:pt>
                <c:pt idx="1">
                  <c:v>2.3158179904506708</c:v>
                </c:pt>
                <c:pt idx="2">
                  <c:v>4.222677795323813</c:v>
                </c:pt>
                <c:pt idx="3">
                  <c:v>6.00826227253794</c:v>
                </c:pt>
                <c:pt idx="4">
                  <c:v>7.4447265339682493</c:v>
                </c:pt>
                <c:pt idx="5">
                  <c:v>8.6371770975609277</c:v>
                </c:pt>
                <c:pt idx="6">
                  <c:v>9.6718419666404252</c:v>
                </c:pt>
                <c:pt idx="7">
                  <c:v>10.746809850930326</c:v>
                </c:pt>
                <c:pt idx="8">
                  <c:v>11.622928827352103</c:v>
                </c:pt>
                <c:pt idx="9">
                  <c:v>12.081558244986434</c:v>
                </c:pt>
                <c:pt idx="10">
                  <c:v>12.566223666974453</c:v>
                </c:pt>
                <c:pt idx="11">
                  <c:v>13.014556062360795</c:v>
                </c:pt>
                <c:pt idx="12">
                  <c:v>13.882841681668795</c:v>
                </c:pt>
                <c:pt idx="13">
                  <c:v>15.865580290082544</c:v>
                </c:pt>
                <c:pt idx="14">
                  <c:v>17.115843705929574</c:v>
                </c:pt>
                <c:pt idx="15">
                  <c:v>19.795152735053605</c:v>
                </c:pt>
              </c:numCache>
            </c:numRef>
          </c:yVal>
          <c:smooth val="0"/>
          <c:extLst>
            <c:ext xmlns:c16="http://schemas.microsoft.com/office/drawing/2014/chart" uri="{C3380CC4-5D6E-409C-BE32-E72D297353CC}">
              <c16:uniqueId val="{00000003-1EC9-442B-958F-0FB3F7A40AD9}"/>
            </c:ext>
          </c:extLst>
        </c:ser>
        <c:dLbls>
          <c:showLegendKey val="0"/>
          <c:showVal val="0"/>
          <c:showCatName val="0"/>
          <c:showSerName val="0"/>
          <c:showPercent val="0"/>
          <c:showBubbleSize val="0"/>
        </c:dLbls>
        <c:axId val="1560134560"/>
        <c:axId val="1560147872"/>
      </c:scatterChart>
      <c:scatterChart>
        <c:scatterStyle val="smoothMarker"/>
        <c:varyColors val="0"/>
        <c:ser>
          <c:idx val="0"/>
          <c:order val="0"/>
          <c:spPr>
            <a:ln w="19050" cap="rnd">
              <a:solidFill>
                <a:schemeClr val="tx1"/>
              </a:solidFill>
              <a:prstDash val="sysDot"/>
              <a:round/>
            </a:ln>
            <a:effectLst/>
          </c:spPr>
          <c:marker>
            <c:symbol val="none"/>
          </c:marker>
          <c:xVal>
            <c:numRef>
              <c:f>'GS simulation'!$N$33:$N$48</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simulation'!$V$33:$V$48</c:f>
              <c:numCache>
                <c:formatCode>0</c:formatCode>
                <c:ptCount val="16"/>
                <c:pt idx="0">
                  <c:v>0</c:v>
                </c:pt>
                <c:pt idx="1">
                  <c:v>2.6846577492443204</c:v>
                </c:pt>
                <c:pt idx="2">
                  <c:v>5.3693154984886409</c:v>
                </c:pt>
                <c:pt idx="3">
                  <c:v>8.0539732477329498</c:v>
                </c:pt>
                <c:pt idx="4">
                  <c:v>9.503750807557914</c:v>
                </c:pt>
                <c:pt idx="5">
                  <c:v>10.953528367382866</c:v>
                </c:pt>
                <c:pt idx="6">
                  <c:v>12.403305927207819</c:v>
                </c:pt>
                <c:pt idx="7">
                  <c:v>13.853083487032761</c:v>
                </c:pt>
                <c:pt idx="8">
                  <c:v>15.302861046857725</c:v>
                </c:pt>
                <c:pt idx="9">
                  <c:v>16.752638606682677</c:v>
                </c:pt>
                <c:pt idx="10">
                  <c:v>18.202416166507629</c:v>
                </c:pt>
                <c:pt idx="11">
                  <c:v>19.996209328141632</c:v>
                </c:pt>
                <c:pt idx="12">
                  <c:v>21.790002489775652</c:v>
                </c:pt>
                <c:pt idx="13">
                  <c:v>23.583795651409655</c:v>
                </c:pt>
                <c:pt idx="14">
                  <c:v>25.377588813043658</c:v>
                </c:pt>
                <c:pt idx="15">
                  <c:v>27.171381974677679</c:v>
                </c:pt>
              </c:numCache>
            </c:numRef>
          </c:yVal>
          <c:smooth val="1"/>
          <c:extLst>
            <c:ext xmlns:c16="http://schemas.microsoft.com/office/drawing/2014/chart" uri="{C3380CC4-5D6E-409C-BE32-E72D297353CC}">
              <c16:uniqueId val="{00000000-1EC9-442B-958F-0FB3F7A40AD9}"/>
            </c:ext>
          </c:extLst>
        </c:ser>
        <c:ser>
          <c:idx val="1"/>
          <c:order val="1"/>
          <c:spPr>
            <a:ln w="19050" cap="rnd">
              <a:solidFill>
                <a:schemeClr val="accent6"/>
              </a:solidFill>
              <a:prstDash val="dashDot"/>
              <a:round/>
            </a:ln>
            <a:effectLst/>
          </c:spPr>
          <c:marker>
            <c:symbol val="none"/>
          </c:marker>
          <c:xVal>
            <c:numRef>
              <c:f>'GS simulation'!$N$33:$N$48</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simulation'!$W$33:$W$48</c:f>
              <c:numCache>
                <c:formatCode>0</c:formatCode>
                <c:ptCount val="16"/>
                <c:pt idx="0">
                  <c:v>0</c:v>
                </c:pt>
                <c:pt idx="1">
                  <c:v>3.7303553921448471</c:v>
                </c:pt>
                <c:pt idx="2">
                  <c:v>7.4607107842897165</c:v>
                </c:pt>
                <c:pt idx="3">
                  <c:v>11.191066176434553</c:v>
                </c:pt>
                <c:pt idx="4">
                  <c:v>13.076632734486925</c:v>
                </c:pt>
                <c:pt idx="5">
                  <c:v>14.962199292539285</c:v>
                </c:pt>
                <c:pt idx="6">
                  <c:v>16.847765850591667</c:v>
                </c:pt>
                <c:pt idx="7">
                  <c:v>18.733332408644017</c:v>
                </c:pt>
                <c:pt idx="8">
                  <c:v>20.618898966696392</c:v>
                </c:pt>
                <c:pt idx="9">
                  <c:v>22.504465524748753</c:v>
                </c:pt>
                <c:pt idx="10">
                  <c:v>24.390032082801124</c:v>
                </c:pt>
                <c:pt idx="11">
                  <c:v>26.320738853273586</c:v>
                </c:pt>
                <c:pt idx="12">
                  <c:v>28.251445623746054</c:v>
                </c:pt>
                <c:pt idx="13">
                  <c:v>30.182152394218502</c:v>
                </c:pt>
                <c:pt idx="14">
                  <c:v>32.112859164690974</c:v>
                </c:pt>
                <c:pt idx="15">
                  <c:v>34.043565935163429</c:v>
                </c:pt>
              </c:numCache>
            </c:numRef>
          </c:yVal>
          <c:smooth val="1"/>
          <c:extLst>
            <c:ext xmlns:c16="http://schemas.microsoft.com/office/drawing/2014/chart" uri="{C3380CC4-5D6E-409C-BE32-E72D297353CC}">
              <c16:uniqueId val="{00000001-1EC9-442B-958F-0FB3F7A40AD9}"/>
            </c:ext>
          </c:extLst>
        </c:ser>
        <c:ser>
          <c:idx val="2"/>
          <c:order val="2"/>
          <c:spPr>
            <a:ln w="19050" cap="rnd">
              <a:solidFill>
                <a:srgbClr val="FF0000"/>
              </a:solidFill>
              <a:prstDash val="dash"/>
              <a:round/>
            </a:ln>
            <a:effectLst/>
          </c:spPr>
          <c:marker>
            <c:symbol val="none"/>
          </c:marker>
          <c:xVal>
            <c:numRef>
              <c:f>'GS simulation'!$N$33:$N$48</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formatCode="0.0">
                  <c:v>60</c:v>
                </c:pt>
                <c:pt idx="12" formatCode="0.0">
                  <c:v>70</c:v>
                </c:pt>
                <c:pt idx="13" formatCode="0.0">
                  <c:v>80</c:v>
                </c:pt>
                <c:pt idx="14" formatCode="0.0">
                  <c:v>90</c:v>
                </c:pt>
                <c:pt idx="15" formatCode="0.0">
                  <c:v>100</c:v>
                </c:pt>
              </c:numCache>
            </c:numRef>
          </c:xVal>
          <c:yVal>
            <c:numRef>
              <c:f>'GS simulation'!$X$33:$X$48</c:f>
              <c:numCache>
                <c:formatCode>0</c:formatCode>
                <c:ptCount val="16"/>
                <c:pt idx="0">
                  <c:v>0</c:v>
                </c:pt>
                <c:pt idx="1">
                  <c:v>1.6389601063437937</c:v>
                </c:pt>
                <c:pt idx="2">
                  <c:v>3.2779202126875653</c:v>
                </c:pt>
                <c:pt idx="3">
                  <c:v>4.9168803190313595</c:v>
                </c:pt>
                <c:pt idx="4">
                  <c:v>5.9308688806288812</c:v>
                </c:pt>
                <c:pt idx="5">
                  <c:v>6.944857442226426</c:v>
                </c:pt>
                <c:pt idx="6">
                  <c:v>7.9588460038239468</c:v>
                </c:pt>
                <c:pt idx="7">
                  <c:v>8.9728345654214916</c:v>
                </c:pt>
                <c:pt idx="8">
                  <c:v>9.9868231270190364</c:v>
                </c:pt>
                <c:pt idx="9">
                  <c:v>11.000811688616558</c:v>
                </c:pt>
                <c:pt idx="10">
                  <c:v>12.014800250214103</c:v>
                </c:pt>
                <c:pt idx="11">
                  <c:v>12.714818788240452</c:v>
                </c:pt>
                <c:pt idx="12">
                  <c:v>13.414837326266799</c:v>
                </c:pt>
                <c:pt idx="13">
                  <c:v>14.114855864293146</c:v>
                </c:pt>
                <c:pt idx="14">
                  <c:v>14.814874402319495</c:v>
                </c:pt>
                <c:pt idx="15">
                  <c:v>15.514892940345865</c:v>
                </c:pt>
              </c:numCache>
            </c:numRef>
          </c:yVal>
          <c:smooth val="1"/>
          <c:extLst>
            <c:ext xmlns:c16="http://schemas.microsoft.com/office/drawing/2014/chart" uri="{C3380CC4-5D6E-409C-BE32-E72D297353CC}">
              <c16:uniqueId val="{00000002-1EC9-442B-958F-0FB3F7A40AD9}"/>
            </c:ext>
          </c:extLst>
        </c:ser>
        <c:dLbls>
          <c:showLegendKey val="0"/>
          <c:showVal val="0"/>
          <c:showCatName val="0"/>
          <c:showSerName val="0"/>
          <c:showPercent val="0"/>
          <c:showBubbleSize val="0"/>
        </c:dLbls>
        <c:axId val="1560134560"/>
        <c:axId val="1560147872"/>
      </c:scatterChart>
      <c:valAx>
        <c:axId val="15601345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0147872"/>
        <c:crosses val="autoZero"/>
        <c:crossBetween val="midCat"/>
      </c:valAx>
      <c:valAx>
        <c:axId val="156014787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Cumulative mass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013456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(15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c:v>
          </c:tx>
          <c:spPr>
            <a:solidFill>
              <a:schemeClr val="accent1">
                <a:lumMod val="40000"/>
                <a:lumOff val="60000"/>
              </a:schemeClr>
            </a:solidFill>
            <a:ln>
              <a:solidFill>
                <a:schemeClr val="accent1"/>
              </a:solidFill>
            </a:ln>
            <a:effectLst/>
          </c:spPr>
          <c:invertIfNegative val="0"/>
          <c:cat>
            <c:strRef>
              <c:f>'Sample 1'!$G$25:$I$25</c:f>
              <c:strCache>
                <c:ptCount val="3"/>
                <c:pt idx="0">
                  <c:v>NTO</c:v>
                </c:pt>
                <c:pt idx="1">
                  <c:v>DNAN</c:v>
                </c:pt>
                <c:pt idx="2">
                  <c:v>RDX</c:v>
                </c:pt>
              </c:strCache>
            </c:strRef>
          </c:cat>
          <c:val>
            <c:numRef>
              <c:f>'Sample 1'!$G$37:$I$37</c:f>
              <c:numCache>
                <c:formatCode>0.0</c:formatCode>
                <c:ptCount val="3"/>
                <c:pt idx="0">
                  <c:v>41.637705441834882</c:v>
                </c:pt>
                <c:pt idx="1">
                  <c:v>29.33288760384719</c:v>
                </c:pt>
                <c:pt idx="2">
                  <c:v>26.814333935095338</c:v>
                </c:pt>
              </c:numCache>
            </c:numRef>
          </c:val>
          <c:extLst>
            <c:ext xmlns:c16="http://schemas.microsoft.com/office/drawing/2014/chart" uri="{C3380CC4-5D6E-409C-BE32-E72D297353CC}">
              <c16:uniqueId val="{00000000-9D81-486E-9B4C-AF36FDBE1F90}"/>
            </c:ext>
          </c:extLst>
        </c:ser>
        <c:ser>
          <c:idx val="1"/>
          <c:order val="1"/>
          <c:tx>
            <c:v>Solid</c:v>
          </c:tx>
          <c:spPr>
            <a:solidFill>
              <a:schemeClr val="accent5"/>
            </a:solidFill>
            <a:ln>
              <a:solidFill>
                <a:schemeClr val="accent5"/>
              </a:solidFill>
            </a:ln>
            <a:effectLst/>
          </c:spPr>
          <c:invertIfNegative val="0"/>
          <c:cat>
            <c:strRef>
              <c:f>'Sample 1'!$G$25:$I$25</c:f>
              <c:strCache>
                <c:ptCount val="3"/>
                <c:pt idx="0">
                  <c:v>NTO</c:v>
                </c:pt>
                <c:pt idx="1">
                  <c:v>DNAN</c:v>
                </c:pt>
                <c:pt idx="2">
                  <c:v>RDX</c:v>
                </c:pt>
              </c:strCache>
            </c:strRef>
          </c:cat>
          <c:val>
            <c:numRef>
              <c:f>'Sample 1'!$G$38:$I$38</c:f>
              <c:numCache>
                <c:formatCode>0</c:formatCode>
                <c:ptCount val="3"/>
                <c:pt idx="0">
                  <c:v>58.362294558165125</c:v>
                </c:pt>
                <c:pt idx="1">
                  <c:v>70.667112396152802</c:v>
                </c:pt>
                <c:pt idx="2">
                  <c:v>73.185666064904666</c:v>
                </c:pt>
              </c:numCache>
            </c:numRef>
          </c:val>
          <c:extLst>
            <c:ext xmlns:c16="http://schemas.microsoft.com/office/drawing/2014/chart" uri="{C3380CC4-5D6E-409C-BE32-E72D297353CC}">
              <c16:uniqueId val="{00000001-9D81-486E-9B4C-AF36FDBE1F90}"/>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(10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c:v>
          </c:tx>
          <c:spPr>
            <a:solidFill>
              <a:schemeClr val="accent2">
                <a:lumMod val="75000"/>
              </a:schemeClr>
            </a:solidFill>
            <a:ln>
              <a:solidFill>
                <a:schemeClr val="accent2">
                  <a:lumMod val="75000"/>
                </a:schemeClr>
              </a:solidFill>
            </a:ln>
            <a:effectLst/>
          </c:spPr>
          <c:invertIfNegative val="0"/>
          <c:cat>
            <c:strRef>
              <c:f>'Sample 1'!$G$25:$I$25</c:f>
              <c:strCache>
                <c:ptCount val="3"/>
                <c:pt idx="0">
                  <c:v>NTO</c:v>
                </c:pt>
                <c:pt idx="1">
                  <c:v>DNAN</c:v>
                </c:pt>
                <c:pt idx="2">
                  <c:v>RDX</c:v>
                </c:pt>
              </c:strCache>
            </c:strRef>
          </c:cat>
          <c:val>
            <c:numRef>
              <c:f>'Sample 1'!$G$31:$I$31</c:f>
              <c:numCache>
                <c:formatCode>0.0</c:formatCode>
                <c:ptCount val="3"/>
                <c:pt idx="0">
                  <c:v>35.137149572649697</c:v>
                </c:pt>
                <c:pt idx="1">
                  <c:v>22.360970853761376</c:v>
                </c:pt>
                <c:pt idx="2">
                  <c:v>20.943133384570697</c:v>
                </c:pt>
              </c:numCache>
            </c:numRef>
          </c:val>
          <c:extLst>
            <c:ext xmlns:c16="http://schemas.microsoft.com/office/drawing/2014/chart" uri="{C3380CC4-5D6E-409C-BE32-E72D297353CC}">
              <c16:uniqueId val="{00000000-BD18-4788-915E-66005351375B}"/>
            </c:ext>
          </c:extLst>
        </c:ser>
        <c:ser>
          <c:idx val="1"/>
          <c:order val="1"/>
          <c:tx>
            <c:v>Solid</c:v>
          </c:tx>
          <c:spPr>
            <a:solidFill>
              <a:schemeClr val="accent2"/>
            </a:solidFill>
            <a:ln>
              <a:noFill/>
            </a:ln>
            <a:effectLst/>
          </c:spPr>
          <c:invertIfNegative val="0"/>
          <c:cat>
            <c:strRef>
              <c:f>'Sample 1'!$G$25:$I$25</c:f>
              <c:strCache>
                <c:ptCount val="3"/>
                <c:pt idx="0">
                  <c:v>NTO</c:v>
                </c:pt>
                <c:pt idx="1">
                  <c:v>DNAN</c:v>
                </c:pt>
                <c:pt idx="2">
                  <c:v>RDX</c:v>
                </c:pt>
              </c:strCache>
            </c:strRef>
          </c:cat>
          <c:val>
            <c:numRef>
              <c:f>'Sample 1'!$G$32:$I$32</c:f>
              <c:numCache>
                <c:formatCode>0.0</c:formatCode>
                <c:ptCount val="3"/>
                <c:pt idx="0">
                  <c:v>64.86285042735031</c:v>
                </c:pt>
                <c:pt idx="1">
                  <c:v>77.639029146238627</c:v>
                </c:pt>
                <c:pt idx="2">
                  <c:v>79.0568666154293</c:v>
                </c:pt>
              </c:numCache>
            </c:numRef>
          </c:val>
          <c:extLst>
            <c:ext xmlns:c16="http://schemas.microsoft.com/office/drawing/2014/chart" uri="{C3380CC4-5D6E-409C-BE32-E72D297353CC}">
              <c16:uniqueId val="{00000001-BD18-4788-915E-66005351375B}"/>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8949364835801175E-2"/>
          <c:y val="0.10169605327954946"/>
          <c:w val="0.88246429719327113"/>
          <c:h val="0.68355055656774555"/>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1"/>
                </a:solidFill>
                <a:prstDash val="sysDot"/>
              </a:ln>
              <a:effectLst/>
            </c:spPr>
            <c:trendlineType val="log"/>
            <c:dispRSqr val="0"/>
            <c:dispEq val="0"/>
          </c:trendline>
          <c:trendline>
            <c:spPr>
              <a:ln w="19050" cap="rnd">
                <a:solidFill>
                  <a:schemeClr val="accent1"/>
                </a:solidFill>
                <a:prstDash val="sysDot"/>
              </a:ln>
              <a:effectLst/>
            </c:spPr>
            <c:trendlineType val="log"/>
            <c:dispRSqr val="1"/>
            <c:dispEq val="1"/>
            <c:trendlineLbl>
              <c:layout>
                <c:manualLayout>
                  <c:x val="6.3282808398950133E-2"/>
                  <c:y val="8.7546296296296303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1"/>
                </a:solidFill>
                <a:prstDash val="sysDot"/>
              </a:ln>
              <a:effectLst/>
            </c:spPr>
            <c:trendlineType val="log"/>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1"/>
                </a:solidFill>
                <a:prstDash val="sysDot"/>
              </a:ln>
              <a:effectLst/>
            </c:spPr>
            <c:trendlineType val="poly"/>
            <c:order val="2"/>
            <c:intercept val="0"/>
            <c:dispRSqr val="1"/>
            <c:dispEq val="1"/>
            <c:trendlineLbl>
              <c:layout>
                <c:manualLayout>
                  <c:x val="-2.6150294126625829E-2"/>
                  <c:y val="7.2856256659021193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1'!$B$4:$B$19</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'Sample 1'!$M$4:$M$19</c:f>
              <c:numCache>
                <c:formatCode>0.00</c:formatCode>
                <c:ptCount val="16"/>
                <c:pt idx="0" formatCode="General">
                  <c:v>0</c:v>
                </c:pt>
                <c:pt idx="1">
                  <c:v>2.9825066317282567</c:v>
                </c:pt>
                <c:pt idx="2">
                  <c:v>4.8356551251599287</c:v>
                </c:pt>
                <c:pt idx="3">
                  <c:v>6.0269020755042417</c:v>
                </c:pt>
                <c:pt idx="4">
                  <c:v>6.8820133802988765</c:v>
                </c:pt>
                <c:pt idx="5">
                  <c:v>7.5115449644205894</c:v>
                </c:pt>
                <c:pt idx="6">
                  <c:v>8.0299187535905059</c:v>
                </c:pt>
                <c:pt idx="7">
                  <c:v>8.6342783052760286</c:v>
                </c:pt>
                <c:pt idx="8">
                  <c:v>9.246699196545288</c:v>
                </c:pt>
                <c:pt idx="9">
                  <c:v>9.9749662139604318</c:v>
                </c:pt>
                <c:pt idx="10">
                  <c:v>10.708046332264997</c:v>
                </c:pt>
                <c:pt idx="11">
                  <c:v>11.050093639819375</c:v>
                </c:pt>
                <c:pt idx="12">
                  <c:v>11.518776077857598</c:v>
                </c:pt>
                <c:pt idx="13">
                  <c:v>11.910046619464296</c:v>
                </c:pt>
                <c:pt idx="14">
                  <c:v>12.227504919707677</c:v>
                </c:pt>
                <c:pt idx="15">
                  <c:v>12.68909073339918</c:v>
                </c:pt>
              </c:numCache>
            </c:numRef>
          </c:yVal>
          <c:smooth val="0"/>
          <c:extLst>
            <c:ext xmlns:c16="http://schemas.microsoft.com/office/drawing/2014/chart" uri="{C3380CC4-5D6E-409C-BE32-E72D297353CC}">
              <c16:uniqueId val="{00000000-BB5C-4BFA-8AA7-99699BAE38C8}"/>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og"/>
            <c:dispRSqr val="0"/>
            <c:dispEq val="0"/>
          </c:trendline>
          <c:trendline>
            <c:spPr>
              <a:ln w="19050" cap="rnd">
                <a:solidFill>
                  <a:schemeClr val="accent2"/>
                </a:solidFill>
                <a:prstDash val="sysDot"/>
              </a:ln>
              <a:effectLst/>
            </c:spPr>
            <c:trendlineType val="poly"/>
            <c:order val="2"/>
            <c:intercept val="0"/>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1'!$B$4:$B$19</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'Sample 1'!$N$4:$N$19</c:f>
              <c:numCache>
                <c:formatCode>0.00</c:formatCode>
                <c:ptCount val="16"/>
                <c:pt idx="0" formatCode="General">
                  <c:v>0</c:v>
                </c:pt>
                <c:pt idx="1">
                  <c:v>0.31108924070514693</c:v>
                </c:pt>
                <c:pt idx="2">
                  <c:v>0.71295210910504259</c:v>
                </c:pt>
                <c:pt idx="3">
                  <c:v>1.1663296046725837</c:v>
                </c:pt>
                <c:pt idx="4">
                  <c:v>1.6190366366555033</c:v>
                </c:pt>
                <c:pt idx="5">
                  <c:v>2.0425702951245612</c:v>
                </c:pt>
                <c:pt idx="6">
                  <c:v>2.4533127022292738</c:v>
                </c:pt>
                <c:pt idx="7">
                  <c:v>2.8636396137770936</c:v>
                </c:pt>
                <c:pt idx="8">
                  <c:v>3.2844637039916087</c:v>
                </c:pt>
                <c:pt idx="9">
                  <c:v>3.7086576998067287</c:v>
                </c:pt>
                <c:pt idx="10">
                  <c:v>4.1144186370920934</c:v>
                </c:pt>
                <c:pt idx="11">
                  <c:v>4.3676739169493795</c:v>
                </c:pt>
                <c:pt idx="12">
                  <c:v>4.6390850003337194</c:v>
                </c:pt>
                <c:pt idx="13">
                  <c:v>4.8973310989677836</c:v>
                </c:pt>
                <c:pt idx="14">
                  <c:v>5.1212319679143237</c:v>
                </c:pt>
                <c:pt idx="15">
                  <c:v>5.397251319107883</c:v>
                </c:pt>
              </c:numCache>
            </c:numRef>
          </c:yVal>
          <c:smooth val="0"/>
          <c:extLst>
            <c:ext xmlns:c16="http://schemas.microsoft.com/office/drawing/2014/chart" uri="{C3380CC4-5D6E-409C-BE32-E72D297353CC}">
              <c16:uniqueId val="{00000001-BB5C-4BFA-8AA7-99699BAE38C8}"/>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poly"/>
            <c:order val="2"/>
            <c:intercept val="0"/>
            <c:dispRSqr val="1"/>
            <c:dispEq val="1"/>
            <c:trendlineLbl>
              <c:layout>
                <c:manualLayout>
                  <c:x val="6.8462882273929451E-2"/>
                  <c:y val="7.1531137201359882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1'!$B$4:$B$19</c:f>
              <c:numCache>
                <c:formatCode>General</c:formatCode>
                <c:ptCount val="16"/>
                <c:pt idx="0">
                  <c:v>0</c:v>
                </c:pt>
                <c:pt idx="1">
                  <c:v>5</c:v>
                </c:pt>
                <c:pt idx="2">
                  <c:v>10</c:v>
                </c:pt>
                <c:pt idx="3">
                  <c:v>15</c:v>
                </c:pt>
                <c:pt idx="4">
                  <c:v>20</c:v>
                </c:pt>
                <c:pt idx="5">
                  <c:v>25</c:v>
                </c:pt>
                <c:pt idx="6">
                  <c:v>30</c:v>
                </c:pt>
                <c:pt idx="7">
                  <c:v>35</c:v>
                </c:pt>
                <c:pt idx="8">
                  <c:v>40</c:v>
                </c:pt>
                <c:pt idx="9">
                  <c:v>45</c:v>
                </c:pt>
                <c:pt idx="10">
                  <c:v>50</c:v>
                </c:pt>
                <c:pt idx="11">
                  <c:v>60</c:v>
                </c:pt>
                <c:pt idx="12">
                  <c:v>70</c:v>
                </c:pt>
                <c:pt idx="13">
                  <c:v>80</c:v>
                </c:pt>
                <c:pt idx="14">
                  <c:v>90</c:v>
                </c:pt>
                <c:pt idx="15">
                  <c:v>100</c:v>
                </c:pt>
              </c:numCache>
            </c:numRef>
          </c:xVal>
          <c:yVal>
            <c:numRef>
              <c:f>'Sample 1'!$O$4:$O$19</c:f>
              <c:numCache>
                <c:formatCode>0.00</c:formatCode>
                <c:ptCount val="16"/>
                <c:pt idx="0" formatCode="General">
                  <c:v>0</c:v>
                </c:pt>
                <c:pt idx="1">
                  <c:v>0.1468524784106352</c:v>
                </c:pt>
                <c:pt idx="2">
                  <c:v>0.2846193127608635</c:v>
                </c:pt>
                <c:pt idx="3">
                  <c:v>0.43384736835395593</c:v>
                </c:pt>
                <c:pt idx="4">
                  <c:v>0.60076774050437654</c:v>
                </c:pt>
                <c:pt idx="5">
                  <c:v>0.80483398103552461</c:v>
                </c:pt>
                <c:pt idx="6">
                  <c:v>0.98409761274021113</c:v>
                </c:pt>
                <c:pt idx="7">
                  <c:v>1.1906145234531764</c:v>
                </c:pt>
                <c:pt idx="8">
                  <c:v>1.383707241329196</c:v>
                </c:pt>
                <c:pt idx="9">
                  <c:v>1.6117474292911651</c:v>
                </c:pt>
                <c:pt idx="10">
                  <c:v>1.8063452544192224</c:v>
                </c:pt>
                <c:pt idx="11">
                  <c:v>1.8797951612929971</c:v>
                </c:pt>
                <c:pt idx="12">
                  <c:v>1.9690701096925434</c:v>
                </c:pt>
                <c:pt idx="13">
                  <c:v>2.074664632165542</c:v>
                </c:pt>
                <c:pt idx="14">
                  <c:v>2.1649995869198877</c:v>
                </c:pt>
                <c:pt idx="15">
                  <c:v>2.3127363019019729</c:v>
                </c:pt>
              </c:numCache>
            </c:numRef>
          </c:yVal>
          <c:smooth val="0"/>
          <c:extLst>
            <c:ext xmlns:c16="http://schemas.microsoft.com/office/drawing/2014/chart" uri="{C3380CC4-5D6E-409C-BE32-E72D297353CC}">
              <c16:uniqueId val="{00000002-BB5C-4BFA-8AA7-99699BAE38C8}"/>
            </c:ext>
          </c:extLst>
        </c:ser>
        <c:dLbls>
          <c:showLegendKey val="0"/>
          <c:showVal val="0"/>
          <c:showCatName val="0"/>
          <c:showSerName val="0"/>
          <c:showPercent val="0"/>
          <c:showBubbleSize val="0"/>
        </c:dLbls>
        <c:axId val="954396911"/>
        <c:axId val="954397743"/>
      </c:scatterChart>
      <c:valAx>
        <c:axId val="95439691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4397743"/>
        <c:crosses val="autoZero"/>
        <c:crossBetween val="midCat"/>
      </c:valAx>
      <c:valAx>
        <c:axId val="9543977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439691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2'!$A$4:$A$8</c:f>
              <c:numCache>
                <c:formatCode>General</c:formatCode>
                <c:ptCount val="5"/>
                <c:pt idx="0">
                  <c:v>0</c:v>
                </c:pt>
                <c:pt idx="1">
                  <c:v>1</c:v>
                </c:pt>
                <c:pt idx="2">
                  <c:v>2</c:v>
                </c:pt>
                <c:pt idx="3">
                  <c:v>3</c:v>
                </c:pt>
                <c:pt idx="4">
                  <c:v>4</c:v>
                </c:pt>
              </c:numCache>
            </c:numRef>
          </c:xVal>
          <c:yVal>
            <c:numRef>
              <c:f>'Sample 2'!$M$4:$M$7</c:f>
              <c:numCache>
                <c:formatCode>0.00</c:formatCode>
                <c:ptCount val="4"/>
                <c:pt idx="0" formatCode="General">
                  <c:v>0</c:v>
                </c:pt>
                <c:pt idx="1">
                  <c:v>0.88424606186784616</c:v>
                </c:pt>
                <c:pt idx="2">
                  <c:v>1.5397301597862838</c:v>
                </c:pt>
                <c:pt idx="3">
                  <c:v>2.0475262673245185</c:v>
                </c:pt>
              </c:numCache>
            </c:numRef>
          </c:yVal>
          <c:smooth val="0"/>
          <c:extLst>
            <c:ext xmlns:c16="http://schemas.microsoft.com/office/drawing/2014/chart" uri="{C3380CC4-5D6E-409C-BE32-E72D297353CC}">
              <c16:uniqueId val="{00000000-B086-4C8C-9F40-FA1728CDA137}"/>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2'!$A$4:$A$14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 2'!$N$4:$N$14</c:f>
              <c:numCache>
                <c:formatCode>0.00</c:formatCode>
                <c:ptCount val="11"/>
                <c:pt idx="0" formatCode="General">
                  <c:v>0</c:v>
                </c:pt>
                <c:pt idx="1">
                  <c:v>0.22794275024161259</c:v>
                </c:pt>
                <c:pt idx="2">
                  <c:v>0.45118443945878783</c:v>
                </c:pt>
                <c:pt idx="3">
                  <c:v>0.68627416747204206</c:v>
                </c:pt>
                <c:pt idx="4">
                  <c:v>0.89591190321689917</c:v>
                </c:pt>
                <c:pt idx="5">
                  <c:v>1.1079771110037278</c:v>
                </c:pt>
                <c:pt idx="6">
                  <c:v>1.2484811148695292</c:v>
                </c:pt>
                <c:pt idx="7">
                  <c:v>1.4466435862211791</c:v>
                </c:pt>
                <c:pt idx="8">
                  <c:v>1.6315615898108518</c:v>
                </c:pt>
                <c:pt idx="9">
                  <c:v>1.8305615677205576</c:v>
                </c:pt>
                <c:pt idx="10">
                  <c:v>2.0065782735054531</c:v>
                </c:pt>
              </c:numCache>
            </c:numRef>
          </c:yVal>
          <c:smooth val="0"/>
          <c:extLst>
            <c:ext xmlns:c16="http://schemas.microsoft.com/office/drawing/2014/chart" uri="{C3380CC4-5D6E-409C-BE32-E72D297353CC}">
              <c16:uniqueId val="{00000001-B086-4C8C-9F40-FA1728CDA137}"/>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2'!$A$4:$A$14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 2'!$O$4:$O$14</c:f>
              <c:numCache>
                <c:formatCode>0.00</c:formatCode>
                <c:ptCount val="11"/>
                <c:pt idx="0" formatCode="General">
                  <c:v>0</c:v>
                </c:pt>
                <c:pt idx="1">
                  <c:v>0.12333698075772755</c:v>
                </c:pt>
                <c:pt idx="2">
                  <c:v>0.23161203423583537</c:v>
                </c:pt>
                <c:pt idx="3">
                  <c:v>0.33278945158169659</c:v>
                </c:pt>
                <c:pt idx="4">
                  <c:v>0.42017954957771375</c:v>
                </c:pt>
                <c:pt idx="5">
                  <c:v>0.51534661740198551</c:v>
                </c:pt>
                <c:pt idx="6">
                  <c:v>0.59381289234715351</c:v>
                </c:pt>
                <c:pt idx="7">
                  <c:v>0.68701435994889726</c:v>
                </c:pt>
                <c:pt idx="8">
                  <c:v>0.76716829025135314</c:v>
                </c:pt>
                <c:pt idx="9">
                  <c:v>0.879930825790602</c:v>
                </c:pt>
                <c:pt idx="10">
                  <c:v>0.99271550286652488</c:v>
                </c:pt>
              </c:numCache>
            </c:numRef>
          </c:yVal>
          <c:smooth val="0"/>
          <c:extLst>
            <c:ext xmlns:c16="http://schemas.microsoft.com/office/drawing/2014/chart" uri="{C3380CC4-5D6E-409C-BE32-E72D297353CC}">
              <c16:uniqueId val="{00000002-B086-4C8C-9F40-FA1728CDA137}"/>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3707611548556425"/>
                  <c:y val="-4.0958742756519803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2'!$A$7:$A$14</c:f>
              <c:numCache>
                <c:formatCode>General</c:formatCode>
                <c:ptCount val="8"/>
                <c:pt idx="0">
                  <c:v>3</c:v>
                </c:pt>
                <c:pt idx="1">
                  <c:v>4</c:v>
                </c:pt>
                <c:pt idx="2">
                  <c:v>5</c:v>
                </c:pt>
                <c:pt idx="3">
                  <c:v>6</c:v>
                </c:pt>
                <c:pt idx="4">
                  <c:v>7</c:v>
                </c:pt>
                <c:pt idx="5">
                  <c:v>8</c:v>
                </c:pt>
                <c:pt idx="6">
                  <c:v>9</c:v>
                </c:pt>
                <c:pt idx="7">
                  <c:v>10</c:v>
                </c:pt>
              </c:numCache>
            </c:numRef>
          </c:xVal>
          <c:yVal>
            <c:numRef>
              <c:f>'Sample 2'!$M$7:$M$14</c:f>
              <c:numCache>
                <c:formatCode>0.00</c:formatCode>
                <c:ptCount val="8"/>
                <c:pt idx="0">
                  <c:v>2.0475262673245185</c:v>
                </c:pt>
                <c:pt idx="1">
                  <c:v>2.4638753099080333</c:v>
                </c:pt>
                <c:pt idx="2">
                  <c:v>2.8140823587675516</c:v>
                </c:pt>
                <c:pt idx="3">
                  <c:v>3.0492213772875139</c:v>
                </c:pt>
                <c:pt idx="4">
                  <c:v>3.3252764784947817</c:v>
                </c:pt>
                <c:pt idx="5">
                  <c:v>3.5913141635467727</c:v>
                </c:pt>
                <c:pt idx="6">
                  <c:v>3.8866715085032819</c:v>
                </c:pt>
                <c:pt idx="7">
                  <c:v>4.1987960402635665</c:v>
                </c:pt>
              </c:numCache>
            </c:numRef>
          </c:yVal>
          <c:smooth val="0"/>
          <c:extLst>
            <c:ext xmlns:c16="http://schemas.microsoft.com/office/drawing/2014/chart" uri="{C3380CC4-5D6E-409C-BE32-E72D297353CC}">
              <c16:uniqueId val="{00000003-B086-4C8C-9F40-FA1728CDA137}"/>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512029746281714E-2"/>
                  <c:y val="-6.2328561202576953E-2"/>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2'!$B$4:$B$8</c:f>
              <c:numCache>
                <c:formatCode>General</c:formatCode>
                <c:ptCount val="5"/>
                <c:pt idx="0">
                  <c:v>0</c:v>
                </c:pt>
                <c:pt idx="1">
                  <c:v>5</c:v>
                </c:pt>
                <c:pt idx="2">
                  <c:v>10</c:v>
                </c:pt>
                <c:pt idx="3">
                  <c:v>15</c:v>
                </c:pt>
                <c:pt idx="4">
                  <c:v>20</c:v>
                </c:pt>
              </c:numCache>
            </c:numRef>
          </c:xVal>
          <c:yVal>
            <c:numRef>
              <c:f>'Sample 2'!$M$4:$M$7</c:f>
              <c:numCache>
                <c:formatCode>0.00</c:formatCode>
                <c:ptCount val="4"/>
                <c:pt idx="0" formatCode="General">
                  <c:v>0</c:v>
                </c:pt>
                <c:pt idx="1">
                  <c:v>0.88424606186784616</c:v>
                </c:pt>
                <c:pt idx="2">
                  <c:v>1.5397301597862838</c:v>
                </c:pt>
                <c:pt idx="3">
                  <c:v>2.0475262673245185</c:v>
                </c:pt>
              </c:numCache>
            </c:numRef>
          </c:yVal>
          <c:smooth val="0"/>
          <c:extLst>
            <c:ext xmlns:c16="http://schemas.microsoft.com/office/drawing/2014/chart" uri="{C3380CC4-5D6E-409C-BE32-E72D297353CC}">
              <c16:uniqueId val="{00000000-0A1B-4310-9776-E8673E92276D}"/>
            </c:ext>
          </c:extLst>
        </c:ser>
        <c:ser>
          <c:idx val="1"/>
          <c:order val="1"/>
          <c:tx>
            <c:v>DNAN</c:v>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2'!$B$4:$B$14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 2'!$N$4:$N$14</c:f>
              <c:numCache>
                <c:formatCode>0.00</c:formatCode>
                <c:ptCount val="11"/>
                <c:pt idx="0" formatCode="General">
                  <c:v>0</c:v>
                </c:pt>
                <c:pt idx="1">
                  <c:v>0.22794275024161259</c:v>
                </c:pt>
                <c:pt idx="2">
                  <c:v>0.45118443945878783</c:v>
                </c:pt>
                <c:pt idx="3">
                  <c:v>0.68627416747204206</c:v>
                </c:pt>
                <c:pt idx="4">
                  <c:v>0.89591190321689917</c:v>
                </c:pt>
                <c:pt idx="5">
                  <c:v>1.1079771110037278</c:v>
                </c:pt>
                <c:pt idx="6">
                  <c:v>1.2484811148695292</c:v>
                </c:pt>
                <c:pt idx="7">
                  <c:v>1.4466435862211791</c:v>
                </c:pt>
                <c:pt idx="8">
                  <c:v>1.6315615898108518</c:v>
                </c:pt>
                <c:pt idx="9">
                  <c:v>1.8305615677205576</c:v>
                </c:pt>
                <c:pt idx="10">
                  <c:v>2.0065782735054531</c:v>
                </c:pt>
              </c:numCache>
            </c:numRef>
          </c:yVal>
          <c:smooth val="0"/>
          <c:extLst>
            <c:ext xmlns:c16="http://schemas.microsoft.com/office/drawing/2014/chart" uri="{C3380CC4-5D6E-409C-BE32-E72D297353CC}">
              <c16:uniqueId val="{00000001-0A1B-4310-9776-E8673E92276D}"/>
            </c:ext>
          </c:extLst>
        </c:ser>
        <c:ser>
          <c:idx val="2"/>
          <c:order val="2"/>
          <c:tx>
            <c:v>RDX</c:v>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2'!$B$4:$B$14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 2'!$O$4:$O$14</c:f>
              <c:numCache>
                <c:formatCode>0.00</c:formatCode>
                <c:ptCount val="11"/>
                <c:pt idx="0" formatCode="General">
                  <c:v>0</c:v>
                </c:pt>
                <c:pt idx="1">
                  <c:v>0.12333698075772755</c:v>
                </c:pt>
                <c:pt idx="2">
                  <c:v>0.23161203423583537</c:v>
                </c:pt>
                <c:pt idx="3">
                  <c:v>0.33278945158169659</c:v>
                </c:pt>
                <c:pt idx="4">
                  <c:v>0.42017954957771375</c:v>
                </c:pt>
                <c:pt idx="5">
                  <c:v>0.51534661740198551</c:v>
                </c:pt>
                <c:pt idx="6">
                  <c:v>0.59381289234715351</c:v>
                </c:pt>
                <c:pt idx="7">
                  <c:v>0.68701435994889726</c:v>
                </c:pt>
                <c:pt idx="8">
                  <c:v>0.76716829025135314</c:v>
                </c:pt>
                <c:pt idx="9">
                  <c:v>0.879930825790602</c:v>
                </c:pt>
                <c:pt idx="10">
                  <c:v>0.99271550286652488</c:v>
                </c:pt>
              </c:numCache>
            </c:numRef>
          </c:yVal>
          <c:smooth val="0"/>
          <c:extLst>
            <c:ext xmlns:c16="http://schemas.microsoft.com/office/drawing/2014/chart" uri="{C3380CC4-5D6E-409C-BE32-E72D297353CC}">
              <c16:uniqueId val="{00000002-0A1B-4310-9776-E8673E92276D}"/>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8.7076115485564307E-2"/>
                  <c:y val="-2.7681818181818203E-2"/>
                </c:manualLayout>
              </c:layout>
              <c:numFmt formatCode="General" sourceLinked="0"/>
              <c:spPr>
                <a:solidFill>
                  <a:schemeClr val="lt1"/>
                </a:solidFill>
                <a:ln w="12700" cap="flat" cmpd="sng" algn="ctr">
                  <a:solidFill>
                    <a:schemeClr val="accent5"/>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 2'!$B$7:$B$14</c:f>
              <c:numCache>
                <c:formatCode>General</c:formatCode>
                <c:ptCount val="8"/>
                <c:pt idx="0">
                  <c:v>15</c:v>
                </c:pt>
                <c:pt idx="1">
                  <c:v>20</c:v>
                </c:pt>
                <c:pt idx="2">
                  <c:v>25</c:v>
                </c:pt>
                <c:pt idx="3">
                  <c:v>30</c:v>
                </c:pt>
                <c:pt idx="4">
                  <c:v>35</c:v>
                </c:pt>
                <c:pt idx="5">
                  <c:v>40</c:v>
                </c:pt>
                <c:pt idx="6">
                  <c:v>45</c:v>
                </c:pt>
                <c:pt idx="7">
                  <c:v>50</c:v>
                </c:pt>
              </c:numCache>
            </c:numRef>
          </c:xVal>
          <c:yVal>
            <c:numRef>
              <c:f>'Sample 2'!$M$7:$M$14</c:f>
              <c:numCache>
                <c:formatCode>0.00</c:formatCode>
                <c:ptCount val="8"/>
                <c:pt idx="0">
                  <c:v>2.0475262673245185</c:v>
                </c:pt>
                <c:pt idx="1">
                  <c:v>2.4638753099080333</c:v>
                </c:pt>
                <c:pt idx="2">
                  <c:v>2.8140823587675516</c:v>
                </c:pt>
                <c:pt idx="3">
                  <c:v>3.0492213772875139</c:v>
                </c:pt>
                <c:pt idx="4">
                  <c:v>3.3252764784947817</c:v>
                </c:pt>
                <c:pt idx="5">
                  <c:v>3.5913141635467727</c:v>
                </c:pt>
                <c:pt idx="6">
                  <c:v>3.8866715085032819</c:v>
                </c:pt>
                <c:pt idx="7">
                  <c:v>4.1987960402635665</c:v>
                </c:pt>
              </c:numCache>
            </c:numRef>
          </c:yVal>
          <c:smooth val="0"/>
          <c:extLst>
            <c:ext xmlns:c16="http://schemas.microsoft.com/office/drawing/2014/chart" uri="{C3380CC4-5D6E-409C-BE32-E72D297353CC}">
              <c16:uniqueId val="{00000003-0A1B-4310-9776-E8673E92276D}"/>
            </c:ext>
          </c:extLst>
        </c:ser>
        <c:ser>
          <c:idx val="4"/>
          <c:order val="4"/>
          <c:tx>
            <c:v>NTO3</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6538600790452365"/>
                  <c:y val="2.7289361347158904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2'!$B$14:$B$19</c:f>
              <c:numCache>
                <c:formatCode>General</c:formatCode>
                <c:ptCount val="6"/>
                <c:pt idx="0">
                  <c:v>50</c:v>
                </c:pt>
                <c:pt idx="1">
                  <c:v>60</c:v>
                </c:pt>
                <c:pt idx="2">
                  <c:v>70</c:v>
                </c:pt>
                <c:pt idx="3">
                  <c:v>80</c:v>
                </c:pt>
                <c:pt idx="4">
                  <c:v>90</c:v>
                </c:pt>
                <c:pt idx="5">
                  <c:v>100</c:v>
                </c:pt>
              </c:numCache>
            </c:numRef>
          </c:xVal>
          <c:yVal>
            <c:numRef>
              <c:f>'Sample 2'!$M$14:$M$19</c:f>
              <c:numCache>
                <c:formatCode>0.00</c:formatCode>
                <c:ptCount val="6"/>
                <c:pt idx="0">
                  <c:v>4.1987960402635665</c:v>
                </c:pt>
                <c:pt idx="1">
                  <c:v>4.5408433478179449</c:v>
                </c:pt>
                <c:pt idx="2">
                  <c:v>5.3854669405824964</c:v>
                </c:pt>
                <c:pt idx="3">
                  <c:v>5.3854669405824964</c:v>
                </c:pt>
                <c:pt idx="4">
                  <c:v>5.6951823554540875</c:v>
                </c:pt>
                <c:pt idx="5">
                  <c:v>6.1453709885606154</c:v>
                </c:pt>
              </c:numCache>
            </c:numRef>
          </c:yVal>
          <c:smooth val="0"/>
          <c:extLst>
            <c:ext xmlns:c16="http://schemas.microsoft.com/office/drawing/2014/chart" uri="{C3380CC4-5D6E-409C-BE32-E72D297353CC}">
              <c16:uniqueId val="{00000000-E717-4F5E-ADBE-85A50AE89D5B}"/>
            </c:ext>
          </c:extLst>
        </c:ser>
        <c:ser>
          <c:idx val="5"/>
          <c:order val="5"/>
          <c:tx>
            <c:v>DNAN2</c:v>
          </c:tx>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1"/>
            <c:dispEq val="1"/>
            <c:trendlineLbl>
              <c:layout>
                <c:manualLayout>
                  <c:x val="0.10197343778122574"/>
                  <c:y val="-8.2439313654019825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 2'!$B$14:$B$19</c:f>
              <c:numCache>
                <c:formatCode>General</c:formatCode>
                <c:ptCount val="6"/>
                <c:pt idx="0">
                  <c:v>50</c:v>
                </c:pt>
                <c:pt idx="1">
                  <c:v>60</c:v>
                </c:pt>
                <c:pt idx="2">
                  <c:v>70</c:v>
                </c:pt>
                <c:pt idx="3">
                  <c:v>80</c:v>
                </c:pt>
                <c:pt idx="4">
                  <c:v>90</c:v>
                </c:pt>
                <c:pt idx="5">
                  <c:v>100</c:v>
                </c:pt>
              </c:numCache>
            </c:numRef>
          </c:xVal>
          <c:yVal>
            <c:numRef>
              <c:f>'Sample 2'!$N$14:$N$19</c:f>
              <c:numCache>
                <c:formatCode>0.00</c:formatCode>
                <c:ptCount val="6"/>
                <c:pt idx="0">
                  <c:v>2.0065782735054531</c:v>
                </c:pt>
                <c:pt idx="1">
                  <c:v>2.2598335533627387</c:v>
                </c:pt>
                <c:pt idx="2">
                  <c:v>2.7798412959327488</c:v>
                </c:pt>
                <c:pt idx="3">
                  <c:v>2.7798412959327488</c:v>
                </c:pt>
                <c:pt idx="4">
                  <c:v>2.9982811680757142</c:v>
                </c:pt>
                <c:pt idx="5">
                  <c:v>3.2674852266472101</c:v>
                </c:pt>
              </c:numCache>
            </c:numRef>
          </c:yVal>
          <c:smooth val="0"/>
          <c:extLst>
            <c:ext xmlns:c16="http://schemas.microsoft.com/office/drawing/2014/chart" uri="{C3380CC4-5D6E-409C-BE32-E72D297353CC}">
              <c16:uniqueId val="{00000001-E717-4F5E-ADBE-85A50AE89D5B}"/>
            </c:ext>
          </c:extLst>
        </c:ser>
        <c:ser>
          <c:idx val="6"/>
          <c:order val="6"/>
          <c:tx>
            <c:v>RDX</c:v>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linear"/>
            <c:dispRSqr val="0"/>
            <c:dispEq val="0"/>
          </c:trendline>
          <c:xVal>
            <c:numRef>
              <c:f>'Sample 2'!$B$14:$B$19</c:f>
              <c:numCache>
                <c:formatCode>General</c:formatCode>
                <c:ptCount val="6"/>
                <c:pt idx="0">
                  <c:v>50</c:v>
                </c:pt>
                <c:pt idx="1">
                  <c:v>60</c:v>
                </c:pt>
                <c:pt idx="2">
                  <c:v>70</c:v>
                </c:pt>
                <c:pt idx="3">
                  <c:v>80</c:v>
                </c:pt>
                <c:pt idx="4">
                  <c:v>90</c:v>
                </c:pt>
                <c:pt idx="5">
                  <c:v>100</c:v>
                </c:pt>
              </c:numCache>
            </c:numRef>
          </c:xVal>
          <c:yVal>
            <c:numRef>
              <c:f>'Sample 2'!$O$14:$O$19</c:f>
              <c:numCache>
                <c:formatCode>0.00</c:formatCode>
                <c:ptCount val="6"/>
                <c:pt idx="0">
                  <c:v>0.99271550286652488</c:v>
                </c:pt>
                <c:pt idx="1">
                  <c:v>1.0661654097402995</c:v>
                </c:pt>
                <c:pt idx="2">
                  <c:v>1.257357244598182</c:v>
                </c:pt>
                <c:pt idx="3">
                  <c:v>1.257357244598182</c:v>
                </c:pt>
                <c:pt idx="4">
                  <c:v>1.3454889077731533</c:v>
                </c:pt>
                <c:pt idx="5">
                  <c:v>1.4895778026322239</c:v>
                </c:pt>
              </c:numCache>
            </c:numRef>
          </c:yVal>
          <c:smooth val="0"/>
          <c:extLst>
            <c:ext xmlns:c16="http://schemas.microsoft.com/office/drawing/2014/chart" uri="{C3380CC4-5D6E-409C-BE32-E72D297353CC}">
              <c16:uniqueId val="{00000002-E717-4F5E-ADBE-85A50AE89D5B}"/>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(10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 (%)</c:v>
          </c:tx>
          <c:spPr>
            <a:solidFill>
              <a:schemeClr val="accent5">
                <a:lumMod val="20000"/>
                <a:lumOff val="80000"/>
              </a:schemeClr>
            </a:solidFill>
            <a:ln>
              <a:noFill/>
            </a:ln>
            <a:effectLst/>
          </c:spPr>
          <c:invertIfNegative val="0"/>
          <c:cat>
            <c:strRef>
              <c:f>'Sample 2'!$G$24:$I$24</c:f>
              <c:strCache>
                <c:ptCount val="3"/>
                <c:pt idx="0">
                  <c:v>NTO</c:v>
                </c:pt>
                <c:pt idx="1">
                  <c:v>DNAN</c:v>
                </c:pt>
                <c:pt idx="2">
                  <c:v>RDX</c:v>
                </c:pt>
              </c:strCache>
            </c:strRef>
          </c:cat>
          <c:val>
            <c:numRef>
              <c:f>'Sample 2'!$G$30:$I$30</c:f>
              <c:numCache>
                <c:formatCode>0</c:formatCode>
                <c:ptCount val="3"/>
                <c:pt idx="0">
                  <c:v>23.096958249978364</c:v>
                </c:pt>
                <c:pt idx="1">
                  <c:v>18.281507593890794</c:v>
                </c:pt>
                <c:pt idx="2">
                  <c:v>19.294761960476674</c:v>
                </c:pt>
              </c:numCache>
            </c:numRef>
          </c:val>
          <c:extLst>
            <c:ext xmlns:c16="http://schemas.microsoft.com/office/drawing/2014/chart" uri="{C3380CC4-5D6E-409C-BE32-E72D297353CC}">
              <c16:uniqueId val="{00000000-004C-4FC9-924A-BF5896BDD6BE}"/>
            </c:ext>
          </c:extLst>
        </c:ser>
        <c:ser>
          <c:idx val="1"/>
          <c:order val="1"/>
          <c:tx>
            <c:v>Remaining (%)</c:v>
          </c:tx>
          <c:spPr>
            <a:solidFill>
              <a:schemeClr val="accent4">
                <a:lumMod val="75000"/>
              </a:schemeClr>
            </a:solidFill>
            <a:ln>
              <a:noFill/>
            </a:ln>
            <a:effectLst/>
          </c:spPr>
          <c:invertIfNegative val="0"/>
          <c:cat>
            <c:strRef>
              <c:f>'Sample 2'!$G$24:$I$24</c:f>
              <c:strCache>
                <c:ptCount val="3"/>
                <c:pt idx="0">
                  <c:v>NTO</c:v>
                </c:pt>
                <c:pt idx="1">
                  <c:v>DNAN</c:v>
                </c:pt>
                <c:pt idx="2">
                  <c:v>RDX</c:v>
                </c:pt>
              </c:strCache>
            </c:strRef>
          </c:cat>
          <c:val>
            <c:numRef>
              <c:f>'Sample 2'!$G$31:$I$31</c:f>
              <c:numCache>
                <c:formatCode>0</c:formatCode>
                <c:ptCount val="3"/>
                <c:pt idx="0">
                  <c:v>76.903041750021629</c:v>
                </c:pt>
                <c:pt idx="1">
                  <c:v>81.718492406109206</c:v>
                </c:pt>
                <c:pt idx="2">
                  <c:v>80.705238039523323</c:v>
                </c:pt>
              </c:numCache>
            </c:numRef>
          </c:val>
          <c:extLst>
            <c:ext xmlns:c16="http://schemas.microsoft.com/office/drawing/2014/chart" uri="{C3380CC4-5D6E-409C-BE32-E72D297353CC}">
              <c16:uniqueId val="{00000001-004C-4FC9-924A-BF5896BDD6BE}"/>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(15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 (%)</c:v>
          </c:tx>
          <c:spPr>
            <a:solidFill>
              <a:schemeClr val="accent5">
                <a:lumMod val="20000"/>
                <a:lumOff val="80000"/>
              </a:schemeClr>
            </a:solidFill>
            <a:ln>
              <a:noFill/>
            </a:ln>
            <a:effectLst/>
          </c:spPr>
          <c:invertIfNegative val="0"/>
          <c:cat>
            <c:strRef>
              <c:f>'Sample 2'!$G$24:$I$24</c:f>
              <c:strCache>
                <c:ptCount val="3"/>
                <c:pt idx="0">
                  <c:v>NTO</c:v>
                </c:pt>
                <c:pt idx="1">
                  <c:v>DNAN</c:v>
                </c:pt>
                <c:pt idx="2">
                  <c:v>RDX</c:v>
                </c:pt>
              </c:strCache>
            </c:strRef>
          </c:cat>
          <c:val>
            <c:numRef>
              <c:f>'Sample 2'!$G$30:$I$30</c:f>
              <c:numCache>
                <c:formatCode>0</c:formatCode>
                <c:ptCount val="3"/>
                <c:pt idx="0">
                  <c:v>23.096958249978364</c:v>
                </c:pt>
                <c:pt idx="1">
                  <c:v>18.281507593890794</c:v>
                </c:pt>
                <c:pt idx="2">
                  <c:v>19.294761960476674</c:v>
                </c:pt>
              </c:numCache>
            </c:numRef>
          </c:val>
          <c:extLst>
            <c:ext xmlns:c16="http://schemas.microsoft.com/office/drawing/2014/chart" uri="{C3380CC4-5D6E-409C-BE32-E72D297353CC}">
              <c16:uniqueId val="{00000000-7E86-4FDE-96D9-1D3E7CEC5D81}"/>
            </c:ext>
          </c:extLst>
        </c:ser>
        <c:ser>
          <c:idx val="1"/>
          <c:order val="1"/>
          <c:tx>
            <c:v>Remaining (%)</c:v>
          </c:tx>
          <c:spPr>
            <a:solidFill>
              <a:schemeClr val="accent4">
                <a:lumMod val="75000"/>
              </a:schemeClr>
            </a:solidFill>
            <a:ln>
              <a:noFill/>
            </a:ln>
            <a:effectLst/>
          </c:spPr>
          <c:invertIfNegative val="0"/>
          <c:cat>
            <c:strRef>
              <c:f>'Sample 2'!$G$24:$I$24</c:f>
              <c:strCache>
                <c:ptCount val="3"/>
                <c:pt idx="0">
                  <c:v>NTO</c:v>
                </c:pt>
                <c:pt idx="1">
                  <c:v>DNAN</c:v>
                </c:pt>
                <c:pt idx="2">
                  <c:v>RDX</c:v>
                </c:pt>
              </c:strCache>
            </c:strRef>
          </c:cat>
          <c:val>
            <c:numRef>
              <c:f>'Sample 2'!$G$31:$I$31</c:f>
              <c:numCache>
                <c:formatCode>0</c:formatCode>
                <c:ptCount val="3"/>
                <c:pt idx="0">
                  <c:v>76.903041750021629</c:v>
                </c:pt>
                <c:pt idx="1">
                  <c:v>81.718492406109206</c:v>
                </c:pt>
                <c:pt idx="2">
                  <c:v>80.705238039523323</c:v>
                </c:pt>
              </c:numCache>
            </c:numRef>
          </c:val>
          <c:extLst>
            <c:ext xmlns:c16="http://schemas.microsoft.com/office/drawing/2014/chart" uri="{C3380CC4-5D6E-409C-BE32-E72D297353CC}">
              <c16:uniqueId val="{00000001-7E86-4FDE-96D9-1D3E7CEC5D81}"/>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4" Type="http://schemas.openxmlformats.org/officeDocument/2006/relationships/chart" Target="../charts/chart21.xml"/></Relationships>
</file>

<file path=xl/drawings/_rels/drawing6.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23</xdr:col>
      <xdr:colOff>10885</xdr:colOff>
      <xdr:row>1</xdr:row>
      <xdr:rowOff>27214</xdr:rowOff>
    </xdr:from>
    <xdr:to>
      <xdr:col>31</xdr:col>
      <xdr:colOff>500743</xdr:colOff>
      <xdr:row>7</xdr:row>
      <xdr:rowOff>95794</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4205856" y="255814"/>
          <a:ext cx="5366658" cy="1178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Observations:</a:t>
          </a:r>
        </a:p>
        <a:p>
          <a:r>
            <a:rPr lang="en-GB" sz="1100"/>
            <a:t>- After</a:t>
          </a:r>
          <a:r>
            <a:rPr lang="en-GB" sz="1100" baseline="0"/>
            <a:t> 10 sessions (~10L) the flake remains undissolved, although it's less yellow, suggesting that some NTO may have been dissolved.  </a:t>
          </a:r>
        </a:p>
        <a:p>
          <a:r>
            <a:rPr lang="en-GB" sz="1100" baseline="0"/>
            <a:t>- Need new set up, as flake was held with tweezers to avoid it going to the walls of the funnel and to make sure drops fall on top. </a:t>
          </a:r>
        </a:p>
      </xdr:txBody>
    </xdr:sp>
    <xdr:clientData/>
  </xdr:twoCellAnchor>
  <xdr:twoCellAnchor>
    <xdr:from>
      <xdr:col>9</xdr:col>
      <xdr:colOff>55517</xdr:colOff>
      <xdr:row>35</xdr:row>
      <xdr:rowOff>82187</xdr:rowOff>
    </xdr:from>
    <xdr:to>
      <xdr:col>16</xdr:col>
      <xdr:colOff>295003</xdr:colOff>
      <xdr:row>50</xdr:row>
      <xdr:rowOff>69125</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398778</xdr:colOff>
      <xdr:row>21</xdr:row>
      <xdr:rowOff>0</xdr:rowOff>
    </xdr:from>
    <xdr:to>
      <xdr:col>18</xdr:col>
      <xdr:colOff>250372</xdr:colOff>
      <xdr:row>37</xdr:row>
      <xdr:rowOff>44148</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73478</xdr:colOff>
      <xdr:row>24</xdr:row>
      <xdr:rowOff>49667</xdr:rowOff>
    </xdr:from>
    <xdr:to>
      <xdr:col>30</xdr:col>
      <xdr:colOff>387803</xdr:colOff>
      <xdr:row>39</xdr:row>
      <xdr:rowOff>89128</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65314</xdr:colOff>
      <xdr:row>8</xdr:row>
      <xdr:rowOff>43543</xdr:rowOff>
    </xdr:from>
    <xdr:to>
      <xdr:col>30</xdr:col>
      <xdr:colOff>379639</xdr:colOff>
      <xdr:row>23</xdr:row>
      <xdr:rowOff>83004</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587829</xdr:colOff>
      <xdr:row>20</xdr:row>
      <xdr:rowOff>97971</xdr:rowOff>
    </xdr:from>
    <xdr:to>
      <xdr:col>21</xdr:col>
      <xdr:colOff>195944</xdr:colOff>
      <xdr:row>38</xdr:row>
      <xdr:rowOff>97971</xdr:rowOff>
    </xdr:to>
    <xdr:graphicFrame macro="">
      <xdr:nvGraphicFramePr>
        <xdr:cNvPr id="7" name="Chart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23</xdr:col>
      <xdr:colOff>77290</xdr:colOff>
      <xdr:row>2</xdr:row>
      <xdr:rowOff>38099</xdr:rowOff>
    </xdr:from>
    <xdr:to>
      <xdr:col>33</xdr:col>
      <xdr:colOff>326572</xdr:colOff>
      <xdr:row>8</xdr:row>
      <xdr:rowOff>106679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4272261" y="451756"/>
          <a:ext cx="6345282" cy="1178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Observations:</a:t>
          </a:r>
        </a:p>
        <a:p>
          <a:r>
            <a:rPr lang="en-GB" sz="1100"/>
            <a:t>- After</a:t>
          </a:r>
          <a:r>
            <a:rPr lang="en-GB" sz="1100" baseline="0"/>
            <a:t> 10 sessions (~10L) the flake remains undissolved, although it's less yellow, suggesting that some NTO may have been dissolved.  </a:t>
          </a:r>
        </a:p>
        <a:p>
          <a:r>
            <a:rPr lang="en-GB" sz="1100" baseline="0"/>
            <a:t>- Need new set up, as flake was held with tweezers to avoid it going to the walls of the funnel and to make sure drops fall on top. </a:t>
          </a:r>
        </a:p>
      </xdr:txBody>
    </xdr:sp>
    <xdr:clientData/>
  </xdr:twoCellAnchor>
  <xdr:twoCellAnchor>
    <xdr:from>
      <xdr:col>19</xdr:col>
      <xdr:colOff>599803</xdr:colOff>
      <xdr:row>26</xdr:row>
      <xdr:rowOff>103958</xdr:rowOff>
    </xdr:from>
    <xdr:to>
      <xdr:col>27</xdr:col>
      <xdr:colOff>295003</xdr:colOff>
      <xdr:row>41</xdr:row>
      <xdr:rowOff>69124</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191951</xdr:colOff>
      <xdr:row>16</xdr:row>
      <xdr:rowOff>163891</xdr:rowOff>
    </xdr:from>
    <xdr:to>
      <xdr:col>30</xdr:col>
      <xdr:colOff>587828</xdr:colOff>
      <xdr:row>34</xdr:row>
      <xdr:rowOff>141515</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263978</xdr:colOff>
      <xdr:row>9</xdr:row>
      <xdr:rowOff>180296</xdr:rowOff>
    </xdr:from>
    <xdr:to>
      <xdr:col>30</xdr:col>
      <xdr:colOff>567417</xdr:colOff>
      <xdr:row>25</xdr:row>
      <xdr:rowOff>23814</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261257</xdr:colOff>
      <xdr:row>25</xdr:row>
      <xdr:rowOff>119744</xdr:rowOff>
    </xdr:from>
    <xdr:to>
      <xdr:col>30</xdr:col>
      <xdr:colOff>564696</xdr:colOff>
      <xdr:row>40</xdr:row>
      <xdr:rowOff>148318</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440871</xdr:colOff>
      <xdr:row>20</xdr:row>
      <xdr:rowOff>179614</xdr:rowOff>
    </xdr:from>
    <xdr:to>
      <xdr:col>18</xdr:col>
      <xdr:colOff>114300</xdr:colOff>
      <xdr:row>35</xdr:row>
      <xdr:rowOff>125186</xdr:rowOff>
    </xdr:to>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55518</xdr:colOff>
      <xdr:row>32</xdr:row>
      <xdr:rowOff>92528</xdr:rowOff>
    </xdr:from>
    <xdr:to>
      <xdr:col>31</xdr:col>
      <xdr:colOff>304800</xdr:colOff>
      <xdr:row>38</xdr:row>
      <xdr:rowOff>161108</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3031289" y="6057899"/>
          <a:ext cx="6345282" cy="1178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Observations:</a:t>
          </a:r>
        </a:p>
        <a:p>
          <a:r>
            <a:rPr lang="en-GB" sz="1100"/>
            <a:t>- After</a:t>
          </a:r>
          <a:r>
            <a:rPr lang="en-GB" sz="1100" baseline="0"/>
            <a:t> 10 sessions (~10L) the flake remains undissolved, although it's less yellow, suggesting that some NTO may have been dissolved.  </a:t>
          </a:r>
        </a:p>
        <a:p>
          <a:r>
            <a:rPr lang="en-GB" sz="1100" baseline="0"/>
            <a:t>- Need new set up, as flake was held with tweezers to avoid it going to the walls of the funnel and to make sure drops fall on top. </a:t>
          </a:r>
        </a:p>
      </xdr:txBody>
    </xdr:sp>
    <xdr:clientData/>
  </xdr:twoCellAnchor>
  <xdr:twoCellAnchor>
    <xdr:from>
      <xdr:col>19</xdr:col>
      <xdr:colOff>99060</xdr:colOff>
      <xdr:row>5</xdr:row>
      <xdr:rowOff>136615</xdr:rowOff>
    </xdr:from>
    <xdr:to>
      <xdr:col>26</xdr:col>
      <xdr:colOff>403860</xdr:colOff>
      <xdr:row>20</xdr:row>
      <xdr:rowOff>134438</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213723</xdr:colOff>
      <xdr:row>25</xdr:row>
      <xdr:rowOff>33262</xdr:rowOff>
    </xdr:from>
    <xdr:to>
      <xdr:col>20</xdr:col>
      <xdr:colOff>518523</xdr:colOff>
      <xdr:row>40</xdr:row>
      <xdr:rowOff>33261</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111579</xdr:colOff>
      <xdr:row>0</xdr:row>
      <xdr:rowOff>141514</xdr:rowOff>
    </xdr:from>
    <xdr:to>
      <xdr:col>32</xdr:col>
      <xdr:colOff>415018</xdr:colOff>
      <xdr:row>12</xdr:row>
      <xdr:rowOff>121782</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174173</xdr:colOff>
      <xdr:row>14</xdr:row>
      <xdr:rowOff>21770</xdr:rowOff>
    </xdr:from>
    <xdr:to>
      <xdr:col>32</xdr:col>
      <xdr:colOff>522516</xdr:colOff>
      <xdr:row>28</xdr:row>
      <xdr:rowOff>152399</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16</xdr:col>
      <xdr:colOff>403860</xdr:colOff>
      <xdr:row>0</xdr:row>
      <xdr:rowOff>152400</xdr:rowOff>
    </xdr:from>
    <xdr:to>
      <xdr:col>22</xdr:col>
      <xdr:colOff>274320</xdr:colOff>
      <xdr:row>14</xdr:row>
      <xdr:rowOff>45720</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251460</xdr:colOff>
      <xdr:row>0</xdr:row>
      <xdr:rowOff>156210</xdr:rowOff>
    </xdr:from>
    <xdr:to>
      <xdr:col>16</xdr:col>
      <xdr:colOff>289560</xdr:colOff>
      <xdr:row>14</xdr:row>
      <xdr:rowOff>53340</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106680</xdr:colOff>
      <xdr:row>14</xdr:row>
      <xdr:rowOff>167640</xdr:rowOff>
    </xdr:from>
    <xdr:to>
      <xdr:col>15</xdr:col>
      <xdr:colOff>220980</xdr:colOff>
      <xdr:row>27</xdr:row>
      <xdr:rowOff>95250</xdr:rowOff>
    </xdr:to>
    <xdr:graphicFrame macro="">
      <xdr:nvGraphicFramePr>
        <xdr:cNvPr id="4" name="Chart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434340</xdr:colOff>
      <xdr:row>15</xdr:row>
      <xdr:rowOff>49952</xdr:rowOff>
    </xdr:from>
    <xdr:to>
      <xdr:col>22</xdr:col>
      <xdr:colOff>125306</xdr:colOff>
      <xdr:row>29</xdr:row>
      <xdr:rowOff>45719</xdr:rowOff>
    </xdr:to>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9814560" y="2793152"/>
          <a:ext cx="3958166" cy="2556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NOTES:</a:t>
          </a:r>
        </a:p>
        <a:p>
          <a:r>
            <a:rPr lang="en-GB" sz="1100"/>
            <a:t>-</a:t>
          </a:r>
          <a:r>
            <a:rPr lang="en-GB" sz="1100" baseline="0"/>
            <a:t> Flake 1 has a higher NTO dissolution rate. Overall, NTO 1 varies a lot between flakes. This is mainly due to the difference of initial mass. </a:t>
          </a:r>
        </a:p>
        <a:p>
          <a:r>
            <a:rPr lang="en-GB" sz="1100" baseline="0"/>
            <a:t>- </a:t>
          </a:r>
          <a:r>
            <a:rPr lang="en-GB" sz="1100" b="1" baseline="0"/>
            <a:t>Mass F1&gt;F3&gt;F2</a:t>
          </a:r>
          <a:r>
            <a:rPr lang="en-GB" sz="1100" baseline="0"/>
            <a:t>. This matches perfectly with the dissolution rate results -- would be interesting to </a:t>
          </a:r>
          <a:r>
            <a:rPr lang="en-GB" sz="1100" b="1" baseline="0"/>
            <a:t>plot/model dissolution rate as a funtion of mass</a:t>
          </a:r>
        </a:p>
        <a:p>
          <a:r>
            <a:rPr lang="en-GB" sz="1100" b="0" baseline="0"/>
            <a:t>- Percente dissolved is higher in flake 1, although it has more mass than F2. Standard deviations aren't higher than 25% of the values. </a:t>
          </a:r>
        </a:p>
        <a:p>
          <a:r>
            <a:rPr lang="en-GB" sz="1100" b="0" baseline="0"/>
            <a:t>- A higher percentage of NTO seems to be dissolved, what matches with visual results, as small pores can be seen after 10 session, meaning than NTO tends to dissolve faster than DNAN and NTO in the flake. </a:t>
          </a:r>
        </a:p>
        <a:p>
          <a:endParaRPr lang="en-GB" sz="1100" b="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274320</xdr:colOff>
      <xdr:row>3</xdr:row>
      <xdr:rowOff>148590</xdr:rowOff>
    </xdr:from>
    <xdr:to>
      <xdr:col>18</xdr:col>
      <xdr:colOff>579120</xdr:colOff>
      <xdr:row>18</xdr:row>
      <xdr:rowOff>148590</xdr:rowOff>
    </xdr:to>
    <xdr:graphicFrame macro="">
      <xdr:nvGraphicFramePr>
        <xdr:cNvPr id="4" name="Chart 3">
          <a:extLst>
            <a:ext uri="{FF2B5EF4-FFF2-40B4-BE49-F238E27FC236}">
              <a16:creationId xmlns:a16="http://schemas.microsoft.com/office/drawing/2014/main" id="{00000000-0008-0000-0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205740</xdr:colOff>
      <xdr:row>20</xdr:row>
      <xdr:rowOff>49530</xdr:rowOff>
    </xdr:from>
    <xdr:to>
      <xdr:col>7</xdr:col>
      <xdr:colOff>510540</xdr:colOff>
      <xdr:row>35</xdr:row>
      <xdr:rowOff>49530</xdr:rowOff>
    </xdr:to>
    <xdr:graphicFrame macro="">
      <xdr:nvGraphicFramePr>
        <xdr:cNvPr id="5" name="Chart 4">
          <a:extLst>
            <a:ext uri="{FF2B5EF4-FFF2-40B4-BE49-F238E27FC236}">
              <a16:creationId xmlns:a16="http://schemas.microsoft.com/office/drawing/2014/main" id="{00000000-0008-0000-08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571500</xdr:colOff>
      <xdr:row>20</xdr:row>
      <xdr:rowOff>76200</xdr:rowOff>
    </xdr:from>
    <xdr:to>
      <xdr:col>15</xdr:col>
      <xdr:colOff>266700</xdr:colOff>
      <xdr:row>35</xdr:row>
      <xdr:rowOff>76200</xdr:rowOff>
    </xdr:to>
    <xdr:graphicFrame macro="">
      <xdr:nvGraphicFramePr>
        <xdr:cNvPr id="6" name="Chart 5">
          <a:extLst>
            <a:ext uri="{FF2B5EF4-FFF2-40B4-BE49-F238E27FC236}">
              <a16:creationId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342900</xdr:colOff>
      <xdr:row>20</xdr:row>
      <xdr:rowOff>53340</xdr:rowOff>
    </xdr:from>
    <xdr:to>
      <xdr:col>23</xdr:col>
      <xdr:colOff>38100</xdr:colOff>
      <xdr:row>35</xdr:row>
      <xdr:rowOff>53340</xdr:rowOff>
    </xdr:to>
    <xdr:graphicFrame macro="">
      <xdr:nvGraphicFramePr>
        <xdr:cNvPr id="7" name="Chart 6">
          <a:extLst>
            <a:ext uri="{FF2B5EF4-FFF2-40B4-BE49-F238E27FC236}">
              <a16:creationId xmlns:a16="http://schemas.microsoft.com/office/drawing/2014/main" id="{00000000-0008-0000-08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25</xdr:col>
      <xdr:colOff>226691</xdr:colOff>
      <xdr:row>20</xdr:row>
      <xdr:rowOff>148857</xdr:rowOff>
    </xdr:from>
    <xdr:to>
      <xdr:col>33</xdr:col>
      <xdr:colOff>23491</xdr:colOff>
      <xdr:row>35</xdr:row>
      <xdr:rowOff>148858</xdr:rowOff>
    </xdr:to>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274435</xdr:colOff>
      <xdr:row>5</xdr:row>
      <xdr:rowOff>477</xdr:rowOff>
    </xdr:from>
    <xdr:to>
      <xdr:col>32</xdr:col>
      <xdr:colOff>566649</xdr:colOff>
      <xdr:row>19</xdr:row>
      <xdr:rowOff>152877</xdr:rowOff>
    </xdr:to>
    <xdr:graphicFrame macro="">
      <xdr:nvGraphicFramePr>
        <xdr:cNvPr id="5" name="Chart 4">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80019</xdr:colOff>
      <xdr:row>4</xdr:row>
      <xdr:rowOff>177227</xdr:rowOff>
    </xdr:from>
    <xdr:to>
      <xdr:col>40</xdr:col>
      <xdr:colOff>384818</xdr:colOff>
      <xdr:row>19</xdr:row>
      <xdr:rowOff>144571</xdr:rowOff>
    </xdr:to>
    <xdr:graphicFrame macro="">
      <xdr:nvGraphicFramePr>
        <xdr:cNvPr id="7" name="Chart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93580</xdr:colOff>
      <xdr:row>20</xdr:row>
      <xdr:rowOff>160421</xdr:rowOff>
    </xdr:from>
    <xdr:to>
      <xdr:col>40</xdr:col>
      <xdr:colOff>508000</xdr:colOff>
      <xdr:row>36</xdr:row>
      <xdr:rowOff>0</xdr:rowOff>
    </xdr:to>
    <xdr:graphicFrame macro="">
      <xdr:nvGraphicFramePr>
        <xdr:cNvPr id="8" name="Chart 7">
          <a:extLst>
            <a:ext uri="{FF2B5EF4-FFF2-40B4-BE49-F238E27FC236}">
              <a16:creationId xmlns:a16="http://schemas.microsoft.com/office/drawing/2014/main" id="{00000000-0008-0000-09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335280</xdr:colOff>
      <xdr:row>0</xdr:row>
      <xdr:rowOff>76200</xdr:rowOff>
    </xdr:from>
    <xdr:to>
      <xdr:col>7</xdr:col>
      <xdr:colOff>555413</xdr:colOff>
      <xdr:row>5</xdr:row>
      <xdr:rowOff>127000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35280" y="76200"/>
          <a:ext cx="4487333" cy="965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mtotal=diss rate*15 + diss rate 2*50 + diss rate3*t</a:t>
          </a:r>
        </a:p>
        <a:p>
          <a:endParaRPr lang="en-GB" sz="1100"/>
        </a:p>
        <a:p>
          <a:pPr algn="ctr"/>
          <a:r>
            <a:rPr lang="en-GB" sz="1100"/>
            <a:t>t = (M total -diss rate * 15 min - diss rate2 * 35 min)/diss rate 3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
  <sheetViews>
    <sheetView workbookViewId="0">
      <selection activeCell="H5" sqref="H5"/>
    </sheetView>
  </sheetViews>
  <sheetFormatPr defaultRowHeight="14.4" x14ac:dyDescent="0.3"/>
  <cols>
    <col min="2" max="2" width="17.6640625" customWidth="1"/>
    <col min="4" max="4" width="12" customWidth="1"/>
  </cols>
  <sheetData>
    <row r="1" spans="1:11" x14ac:dyDescent="0.3">
      <c r="A1" t="s">
        <v>0</v>
      </c>
    </row>
    <row r="3" spans="1:11" ht="15" thickBot="1" x14ac:dyDescent="0.35">
      <c r="A3" s="21" t="s">
        <v>1</v>
      </c>
      <c r="B3" s="21" t="s">
        <v>2</v>
      </c>
      <c r="C3" s="21" t="s">
        <v>9</v>
      </c>
      <c r="D3" s="21" t="s">
        <v>10</v>
      </c>
      <c r="F3" s="21" t="s">
        <v>61</v>
      </c>
      <c r="J3" t="s">
        <v>62</v>
      </c>
      <c r="K3" t="s">
        <v>63</v>
      </c>
    </row>
    <row r="4" spans="1:11" ht="16.2" thickBot="1" x14ac:dyDescent="0.35">
      <c r="A4" s="35">
        <v>1</v>
      </c>
      <c r="B4" s="35">
        <v>57.5</v>
      </c>
      <c r="C4" s="36">
        <v>40</v>
      </c>
      <c r="D4" s="36">
        <f>C4*100/B4</f>
        <v>69.565217391304344</v>
      </c>
      <c r="E4" s="76">
        <v>37.700000000000003</v>
      </c>
      <c r="F4">
        <f>B4-E4</f>
        <v>19.799999999999997</v>
      </c>
      <c r="G4" s="78">
        <v>20.399999999999999</v>
      </c>
      <c r="H4">
        <f>F4*100/G4</f>
        <v>97.058823529411754</v>
      </c>
      <c r="I4" s="24">
        <f>100-H4</f>
        <v>2.9411764705882462</v>
      </c>
      <c r="J4">
        <f>E4*100/B4</f>
        <v>65.565217391304358</v>
      </c>
      <c r="K4">
        <f>100-J4</f>
        <v>34.434782608695642</v>
      </c>
    </row>
    <row r="5" spans="1:11" ht="16.2" thickBot="1" x14ac:dyDescent="0.35">
      <c r="A5" s="35">
        <v>2</v>
      </c>
      <c r="B5" s="35">
        <v>34.299999999999997</v>
      </c>
      <c r="C5" s="35">
        <v>28.3</v>
      </c>
      <c r="D5" s="36">
        <f t="shared" ref="D5:D6" si="0">C5*100/B5</f>
        <v>82.507288629737616</v>
      </c>
      <c r="E5" s="77">
        <v>26</v>
      </c>
      <c r="F5">
        <f>B5-E5</f>
        <v>8.2999999999999972</v>
      </c>
      <c r="G5" s="79">
        <v>10.9</v>
      </c>
      <c r="H5">
        <f>F5*100/G5</f>
        <v>76.146788990825669</v>
      </c>
      <c r="I5" s="24">
        <f>100-H5</f>
        <v>23.853211009174331</v>
      </c>
      <c r="J5">
        <f t="shared" ref="J5:J6" si="1">E5*100/B5</f>
        <v>75.801749271137027</v>
      </c>
      <c r="K5">
        <f t="shared" ref="K5:K6" si="2">100-J5</f>
        <v>24.198250728862973</v>
      </c>
    </row>
    <row r="6" spans="1:11" ht="16.2" thickBot="1" x14ac:dyDescent="0.35">
      <c r="A6" s="35">
        <v>3</v>
      </c>
      <c r="B6" s="35">
        <v>64.400000000000006</v>
      </c>
      <c r="C6" s="35">
        <v>55.6</v>
      </c>
      <c r="D6" s="36">
        <f t="shared" si="0"/>
        <v>86.335403726708066</v>
      </c>
      <c r="E6" s="77">
        <v>46.4</v>
      </c>
      <c r="F6">
        <f t="shared" ref="F6" si="3">B6-E6</f>
        <v>18.000000000000007</v>
      </c>
      <c r="G6" s="79">
        <v>19.8</v>
      </c>
      <c r="H6">
        <f t="shared" ref="H6" si="4">F6*100/G6</f>
        <v>90.909090909090935</v>
      </c>
      <c r="I6" s="24">
        <f t="shared" ref="I6" si="5">100-H6</f>
        <v>9.0909090909090651</v>
      </c>
      <c r="J6">
        <f t="shared" si="1"/>
        <v>72.049689440993788</v>
      </c>
      <c r="K6">
        <f t="shared" si="2"/>
        <v>27.950310559006212</v>
      </c>
    </row>
    <row r="7" spans="1:11" x14ac:dyDescent="0.3">
      <c r="A7" s="35">
        <v>4</v>
      </c>
      <c r="B7" s="35">
        <v>28.8</v>
      </c>
      <c r="C7" s="35"/>
      <c r="D7" s="35"/>
    </row>
    <row r="8" spans="1:11" x14ac:dyDescent="0.3">
      <c r="A8" s="35">
        <v>5</v>
      </c>
      <c r="B8" s="35">
        <v>47.7</v>
      </c>
      <c r="C8" s="35"/>
      <c r="D8" s="35"/>
    </row>
    <row r="9" spans="1:11" x14ac:dyDescent="0.3">
      <c r="A9" s="1"/>
    </row>
    <row r="10" spans="1:11" x14ac:dyDescent="0.3">
      <c r="A10" s="1" t="s">
        <v>3</v>
      </c>
      <c r="B10" t="s">
        <v>4</v>
      </c>
    </row>
    <row r="11" spans="1:11" x14ac:dyDescent="0.3">
      <c r="A11" s="1">
        <v>1</v>
      </c>
      <c r="B11" s="1">
        <v>2.9399999999999999E-2</v>
      </c>
    </row>
    <row r="12" spans="1:11" x14ac:dyDescent="0.3">
      <c r="A12" s="1">
        <v>2</v>
      </c>
      <c r="B12" s="1">
        <v>3.8199999999999998E-2</v>
      </c>
    </row>
    <row r="13" spans="1:11" x14ac:dyDescent="0.3">
      <c r="A13" s="1">
        <v>3</v>
      </c>
      <c r="B13" s="1">
        <v>3.9899999999999998E-2</v>
      </c>
    </row>
    <row r="14" spans="1:11" x14ac:dyDescent="0.3">
      <c r="A14" s="1">
        <v>4</v>
      </c>
      <c r="B14" s="1">
        <v>2.9899999999999999E-2</v>
      </c>
    </row>
    <row r="15" spans="1:11" x14ac:dyDescent="0.3">
      <c r="A15" s="1">
        <v>5</v>
      </c>
      <c r="B15" s="1">
        <v>3.2599999999999997E-2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0"/>
  <sheetViews>
    <sheetView zoomScale="70" zoomScaleNormal="70" workbookViewId="0">
      <selection activeCell="M4" activeCellId="1" sqref="B4:B19 M4:O19"/>
    </sheetView>
  </sheetViews>
  <sheetFormatPr defaultRowHeight="14.4" x14ac:dyDescent="0.3"/>
  <cols>
    <col min="1" max="1" width="11.33203125" customWidth="1"/>
    <col min="2" max="2" width="8.109375" customWidth="1"/>
    <col min="10" max="10" width="9.5546875" bestFit="1" customWidth="1"/>
    <col min="11" max="12" width="9" bestFit="1" customWidth="1"/>
  </cols>
  <sheetData>
    <row r="1" spans="1:19" ht="18" x14ac:dyDescent="0.35">
      <c r="A1" s="2" t="s">
        <v>5</v>
      </c>
      <c r="B1" s="2"/>
    </row>
    <row r="2" spans="1:19" x14ac:dyDescent="0.3">
      <c r="D2" s="18"/>
      <c r="E2" s="19" t="s">
        <v>15</v>
      </c>
      <c r="F2" s="20"/>
      <c r="G2" s="113" t="s">
        <v>17</v>
      </c>
      <c r="H2" s="114"/>
      <c r="I2" s="115"/>
      <c r="J2" s="113" t="s">
        <v>22</v>
      </c>
      <c r="K2" s="114"/>
      <c r="L2" s="115"/>
      <c r="M2" t="s">
        <v>23</v>
      </c>
      <c r="S2" t="s">
        <v>80</v>
      </c>
    </row>
    <row r="3" spans="1:19" x14ac:dyDescent="0.3">
      <c r="A3" t="s">
        <v>6</v>
      </c>
      <c r="B3" t="s">
        <v>19</v>
      </c>
      <c r="C3" t="s">
        <v>7</v>
      </c>
      <c r="D3" s="18" t="s">
        <v>12</v>
      </c>
      <c r="E3" s="19" t="s">
        <v>13</v>
      </c>
      <c r="F3" s="20" t="s">
        <v>14</v>
      </c>
      <c r="G3" s="18" t="s">
        <v>12</v>
      </c>
      <c r="H3" s="19" t="s">
        <v>13</v>
      </c>
      <c r="I3" s="20" t="s">
        <v>14</v>
      </c>
      <c r="J3" s="18" t="s">
        <v>12</v>
      </c>
      <c r="K3" s="19" t="s">
        <v>13</v>
      </c>
      <c r="L3" s="20" t="s">
        <v>14</v>
      </c>
      <c r="M3" s="19" t="s">
        <v>12</v>
      </c>
      <c r="N3" s="19" t="s">
        <v>13</v>
      </c>
      <c r="O3" s="20" t="s">
        <v>14</v>
      </c>
      <c r="S3" t="s">
        <v>11</v>
      </c>
    </row>
    <row r="4" spans="1:19" x14ac:dyDescent="0.3">
      <c r="A4" s="18">
        <v>0</v>
      </c>
      <c r="B4" s="19">
        <v>0</v>
      </c>
      <c r="C4" s="19" t="s">
        <v>8</v>
      </c>
      <c r="D4" s="18" t="s">
        <v>21</v>
      </c>
      <c r="E4" s="19" t="s">
        <v>21</v>
      </c>
      <c r="F4" s="20" t="s">
        <v>21</v>
      </c>
      <c r="G4" s="18"/>
      <c r="H4" s="19"/>
      <c r="I4" s="20"/>
      <c r="J4" s="18"/>
      <c r="K4" s="19"/>
      <c r="L4" s="20"/>
      <c r="M4" s="19">
        <v>0</v>
      </c>
      <c r="N4" s="19">
        <v>0</v>
      </c>
      <c r="O4" s="20">
        <v>0</v>
      </c>
      <c r="P4" s="3">
        <f>M4*100/$G$27</f>
        <v>0</v>
      </c>
      <c r="Q4" s="3">
        <f>N4*100/$H$27</f>
        <v>0</v>
      </c>
      <c r="R4" s="3">
        <f>O4*100/$I$27</f>
        <v>0</v>
      </c>
      <c r="S4">
        <f>(M4+N4+O4)/$G$24</f>
        <v>0</v>
      </c>
    </row>
    <row r="5" spans="1:19" x14ac:dyDescent="0.3">
      <c r="A5" s="10">
        <v>1</v>
      </c>
      <c r="B5" s="5">
        <v>5</v>
      </c>
      <c r="C5" s="5">
        <v>206</v>
      </c>
      <c r="D5" s="10">
        <v>171274</v>
      </c>
      <c r="E5" s="5">
        <v>28335</v>
      </c>
      <c r="F5" s="11">
        <v>7025</v>
      </c>
      <c r="G5" s="49">
        <f t="shared" ref="G5:G14" si="0">D5*$B$25/$B$26</f>
        <v>14.47818753266144</v>
      </c>
      <c r="H5" s="4">
        <f t="shared" ref="H5:H14" si="1">E5*$C$25/$C$26</f>
        <v>1.5101419451706162</v>
      </c>
      <c r="I5" s="50">
        <f t="shared" ref="I5:I14" si="2">F5*$D$25/$D$26</f>
        <v>0.71287610878949126</v>
      </c>
      <c r="J5" s="12">
        <f>G5*C5/1000</f>
        <v>2.9825066317282567</v>
      </c>
      <c r="K5" s="13">
        <f>H5*C5/1000</f>
        <v>0.31108924070514693</v>
      </c>
      <c r="L5" s="14">
        <f>I5*C5/1000</f>
        <v>0.1468524784106352</v>
      </c>
      <c r="M5" s="13">
        <f>J5+J4</f>
        <v>2.9825066317282567</v>
      </c>
      <c r="N5" s="13">
        <f>K5+K4</f>
        <v>0.31108924070514693</v>
      </c>
      <c r="O5" s="14">
        <f>L5+L4</f>
        <v>0.1468524784106352</v>
      </c>
      <c r="P5" s="3">
        <f>M5*100/$G$27</f>
        <v>9.7867321795841065</v>
      </c>
      <c r="Q5" s="3">
        <f t="shared" ref="Q5:Q19" si="3">N5*100/$H$27</f>
        <v>1.6907023951366682</v>
      </c>
      <c r="R5" s="3">
        <f t="shared" ref="R5:R19" si="4">O5*100/$I$27</f>
        <v>1.7026374308479444</v>
      </c>
      <c r="S5">
        <f t="shared" ref="S5:S19" si="5">(M5+N5+O5)/$G$24</f>
        <v>5.9833884362505023E-2</v>
      </c>
    </row>
    <row r="6" spans="1:19" x14ac:dyDescent="0.3">
      <c r="A6" s="10">
        <v>2</v>
      </c>
      <c r="B6" s="5">
        <v>10</v>
      </c>
      <c r="C6" s="5">
        <v>208</v>
      </c>
      <c r="D6" s="10">
        <v>105396</v>
      </c>
      <c r="E6" s="5">
        <v>36251</v>
      </c>
      <c r="F6" s="11">
        <v>6527</v>
      </c>
      <c r="G6" s="49">
        <f t="shared" si="0"/>
        <v>8.9093677568830376</v>
      </c>
      <c r="H6" s="4">
        <f t="shared" si="1"/>
        <v>1.9320330211533445</v>
      </c>
      <c r="I6" s="50">
        <f t="shared" si="2"/>
        <v>0.66234054976071299</v>
      </c>
      <c r="J6" s="12">
        <f t="shared" ref="J6:J19" si="6">G6*C6/1000</f>
        <v>1.8531484934316718</v>
      </c>
      <c r="K6" s="13">
        <f t="shared" ref="K6:K19" si="7">H6*C6/1000</f>
        <v>0.40186286839989566</v>
      </c>
      <c r="L6" s="14">
        <f t="shared" ref="L6:L19" si="8">I6*C6/1000</f>
        <v>0.1377668343502283</v>
      </c>
      <c r="M6" s="13">
        <f>SUM(J5:J6)</f>
        <v>4.8356551251599287</v>
      </c>
      <c r="N6" s="13">
        <f>SUM(K5:K6)</f>
        <v>0.71295210910504259</v>
      </c>
      <c r="O6" s="14">
        <f>SUM(L5:L6)</f>
        <v>0.2846193127608635</v>
      </c>
      <c r="P6" s="3">
        <f t="shared" ref="P6:P19" si="9">M6*100/$G$27</f>
        <v>15.867613208071955</v>
      </c>
      <c r="Q6" s="3">
        <f t="shared" si="3"/>
        <v>3.8747397233969707</v>
      </c>
      <c r="R6" s="3">
        <f t="shared" si="4"/>
        <v>3.2999340609955188</v>
      </c>
      <c r="S6">
        <f t="shared" si="5"/>
        <v>0.10144741820914496</v>
      </c>
    </row>
    <row r="7" spans="1:19" x14ac:dyDescent="0.3">
      <c r="A7" s="10">
        <v>3</v>
      </c>
      <c r="B7" s="5">
        <v>15</v>
      </c>
      <c r="C7" s="5">
        <v>208</v>
      </c>
      <c r="D7" s="10">
        <v>67751</v>
      </c>
      <c r="E7" s="5">
        <v>40898</v>
      </c>
      <c r="F7" s="11">
        <v>7070</v>
      </c>
      <c r="G7" s="49">
        <f t="shared" si="0"/>
        <v>5.727148799732273</v>
      </c>
      <c r="H7" s="4">
        <f t="shared" si="1"/>
        <v>2.1796994979208706</v>
      </c>
      <c r="I7" s="50">
        <f t="shared" si="2"/>
        <v>0.71744257496679054</v>
      </c>
      <c r="J7" s="12">
        <f t="shared" si="6"/>
        <v>1.1912469503443128</v>
      </c>
      <c r="K7" s="13">
        <f t="shared" si="7"/>
        <v>0.45337749556754109</v>
      </c>
      <c r="L7" s="14">
        <f t="shared" si="8"/>
        <v>0.14922805559309243</v>
      </c>
      <c r="M7" s="13">
        <f>SUM(J5:J7)</f>
        <v>6.0269020755042417</v>
      </c>
      <c r="N7" s="13">
        <f t="shared" ref="N7:O7" si="10">SUM(K5:K7)</f>
        <v>1.1663296046725837</v>
      </c>
      <c r="O7" s="14">
        <f t="shared" si="10"/>
        <v>0.43384736835395593</v>
      </c>
      <c r="P7" s="3">
        <f t="shared" si="9"/>
        <v>19.776544956535655</v>
      </c>
      <c r="Q7" s="3">
        <f t="shared" si="3"/>
        <v>6.3387478514814335</v>
      </c>
      <c r="R7" s="3">
        <f t="shared" si="4"/>
        <v>5.0301144156980397</v>
      </c>
      <c r="S7">
        <f t="shared" si="5"/>
        <v>0.13264485301792664</v>
      </c>
    </row>
    <row r="8" spans="1:19" x14ac:dyDescent="0.3">
      <c r="A8" s="10">
        <v>4</v>
      </c>
      <c r="B8" s="5">
        <v>20</v>
      </c>
      <c r="C8" s="5">
        <v>212</v>
      </c>
      <c r="D8" s="10">
        <v>47716</v>
      </c>
      <c r="E8" s="5">
        <v>40067</v>
      </c>
      <c r="F8" s="11">
        <v>7759</v>
      </c>
      <c r="G8" s="49">
        <f t="shared" si="0"/>
        <v>4.0335438905407317</v>
      </c>
      <c r="H8" s="4">
        <f t="shared" si="1"/>
        <v>2.1354105282213194</v>
      </c>
      <c r="I8" s="50">
        <f t="shared" si="2"/>
        <v>0.78736024599254972</v>
      </c>
      <c r="J8" s="12">
        <f t="shared" si="6"/>
        <v>0.85511130479463504</v>
      </c>
      <c r="K8" s="13">
        <f t="shared" si="7"/>
        <v>0.45270703198291973</v>
      </c>
      <c r="L8" s="14">
        <f t="shared" si="8"/>
        <v>0.16692037215042055</v>
      </c>
      <c r="M8" s="13">
        <f>SUM(J4:J8)</f>
        <v>6.8820133802988765</v>
      </c>
      <c r="N8" s="13">
        <f t="shared" ref="N8:O8" si="11">SUM(K4:K8)</f>
        <v>1.6190366366555033</v>
      </c>
      <c r="O8" s="14">
        <f t="shared" si="11"/>
        <v>0.60076774050437654</v>
      </c>
      <c r="P8" s="3">
        <f t="shared" si="9"/>
        <v>22.582488532563993</v>
      </c>
      <c r="Q8" s="3">
        <f t="shared" si="3"/>
        <v>8.7991121557364327</v>
      </c>
      <c r="R8" s="3">
        <f t="shared" si="4"/>
        <v>6.9654230783116127</v>
      </c>
      <c r="S8">
        <f t="shared" si="5"/>
        <v>0.15829248273841318</v>
      </c>
    </row>
    <row r="9" spans="1:19" x14ac:dyDescent="0.3">
      <c r="A9" s="10">
        <v>5</v>
      </c>
      <c r="B9" s="5">
        <v>25</v>
      </c>
      <c r="C9" s="5">
        <v>210</v>
      </c>
      <c r="D9" s="10">
        <v>35463</v>
      </c>
      <c r="E9" s="5">
        <v>37842</v>
      </c>
      <c r="F9" s="11">
        <v>9576</v>
      </c>
      <c r="G9" s="49">
        <f t="shared" si="0"/>
        <v>2.9977694481986332</v>
      </c>
      <c r="H9" s="4">
        <f t="shared" si="1"/>
        <v>2.0168269450907523</v>
      </c>
      <c r="I9" s="50">
        <f t="shared" si="2"/>
        <v>0.97174400252927662</v>
      </c>
      <c r="J9" s="12">
        <f t="shared" si="6"/>
        <v>0.62953158412171295</v>
      </c>
      <c r="K9" s="13">
        <f t="shared" si="7"/>
        <v>0.42353365846905799</v>
      </c>
      <c r="L9" s="14">
        <f t="shared" si="8"/>
        <v>0.20406624053114808</v>
      </c>
      <c r="M9" s="13">
        <f>SUM(J4:J9)</f>
        <v>7.5115449644205894</v>
      </c>
      <c r="N9" s="13">
        <f t="shared" ref="N9:O9" si="12">SUM(K4:K9)</f>
        <v>2.0425702951245612</v>
      </c>
      <c r="O9" s="14">
        <f t="shared" si="12"/>
        <v>0.80483398103552461</v>
      </c>
      <c r="P9" s="3">
        <f t="shared" si="9"/>
        <v>24.64821973558848</v>
      </c>
      <c r="Q9" s="3">
        <f t="shared" si="3"/>
        <v>11.100925516981311</v>
      </c>
      <c r="R9" s="3">
        <f t="shared" si="4"/>
        <v>9.3314084757741984</v>
      </c>
      <c r="S9">
        <f t="shared" si="5"/>
        <v>0.18015563896662046</v>
      </c>
    </row>
    <row r="10" spans="1:19" x14ac:dyDescent="0.3">
      <c r="A10" s="10">
        <v>6</v>
      </c>
      <c r="B10" s="5">
        <v>30</v>
      </c>
      <c r="C10" s="5">
        <v>208</v>
      </c>
      <c r="D10" s="10">
        <v>29482</v>
      </c>
      <c r="E10" s="5">
        <v>37052</v>
      </c>
      <c r="F10" s="11">
        <v>8493</v>
      </c>
      <c r="G10" s="49">
        <f t="shared" si="0"/>
        <v>2.492181678701523</v>
      </c>
      <c r="H10" s="4">
        <f t="shared" si="1"/>
        <v>1.9747231110803487</v>
      </c>
      <c r="I10" s="50">
        <f t="shared" si="2"/>
        <v>0.8618443831956083</v>
      </c>
      <c r="J10" s="12">
        <f t="shared" si="6"/>
        <v>0.51837378916991683</v>
      </c>
      <c r="K10" s="13">
        <f t="shared" si="7"/>
        <v>0.41074240710471255</v>
      </c>
      <c r="L10" s="14">
        <f t="shared" si="8"/>
        <v>0.17926363170468654</v>
      </c>
      <c r="M10" s="13">
        <f>SUM(J4:J10)</f>
        <v>8.0299187535905059</v>
      </c>
      <c r="N10" s="13">
        <f t="shared" ref="N10:O10" si="13">SUM(K4:K10)</f>
        <v>2.4533127022292738</v>
      </c>
      <c r="O10" s="14">
        <f t="shared" si="13"/>
        <v>0.98409761274021113</v>
      </c>
      <c r="P10" s="3">
        <f t="shared" si="9"/>
        <v>26.349200175850715</v>
      </c>
      <c r="Q10" s="3">
        <f t="shared" si="3"/>
        <v>13.333221207767792</v>
      </c>
      <c r="R10" s="3">
        <f t="shared" si="4"/>
        <v>11.409827394089405</v>
      </c>
      <c r="S10">
        <f t="shared" si="5"/>
        <v>0.19943180988799983</v>
      </c>
    </row>
    <row r="11" spans="1:19" x14ac:dyDescent="0.3">
      <c r="A11" s="10">
        <v>7</v>
      </c>
      <c r="B11" s="5">
        <v>35</v>
      </c>
      <c r="C11" s="5">
        <v>210</v>
      </c>
      <c r="D11" s="10">
        <v>34045</v>
      </c>
      <c r="E11" s="5">
        <v>36662</v>
      </c>
      <c r="F11" s="11">
        <v>9691</v>
      </c>
      <c r="G11" s="49">
        <f t="shared" si="0"/>
        <v>2.8779026270739214</v>
      </c>
      <c r="H11" s="4">
        <f t="shared" si="1"/>
        <v>1.9539376740372381</v>
      </c>
      <c r="I11" s="50">
        <f t="shared" si="2"/>
        <v>0.98341386053793023</v>
      </c>
      <c r="J11" s="12">
        <f t="shared" si="6"/>
        <v>0.60435955168552347</v>
      </c>
      <c r="K11" s="13">
        <f t="shared" si="7"/>
        <v>0.41032691154781997</v>
      </c>
      <c r="L11" s="14">
        <f t="shared" si="8"/>
        <v>0.20651691071296535</v>
      </c>
      <c r="M11" s="13">
        <f>SUM(J4:J11)</f>
        <v>8.6342783052760286</v>
      </c>
      <c r="N11" s="13">
        <f t="shared" ref="N11:O11" si="14">SUM(K4:K11)</f>
        <v>2.8636396137770936</v>
      </c>
      <c r="O11" s="14">
        <f t="shared" si="14"/>
        <v>1.1906145234531764</v>
      </c>
      <c r="P11" s="3">
        <f t="shared" si="9"/>
        <v>28.33233242092216</v>
      </c>
      <c r="Q11" s="3">
        <f t="shared" si="3"/>
        <v>15.563258770527684</v>
      </c>
      <c r="R11" s="3">
        <f t="shared" si="4"/>
        <v>13.804226358877408</v>
      </c>
      <c r="S11">
        <f t="shared" si="5"/>
        <v>0.22067012943489214</v>
      </c>
    </row>
    <row r="12" spans="1:19" x14ac:dyDescent="0.3">
      <c r="A12" s="10">
        <v>8</v>
      </c>
      <c r="B12" s="5">
        <v>40</v>
      </c>
      <c r="C12" s="5">
        <v>206</v>
      </c>
      <c r="D12" s="10">
        <v>35169</v>
      </c>
      <c r="E12" s="5">
        <v>38330</v>
      </c>
      <c r="F12" s="11">
        <v>9237</v>
      </c>
      <c r="G12" s="49">
        <f t="shared" si="0"/>
        <v>2.9729169479090243</v>
      </c>
      <c r="H12" s="4">
        <f t="shared" si="1"/>
        <v>2.0428353893908495</v>
      </c>
      <c r="I12" s="50">
        <f t="shared" si="2"/>
        <v>0.93734329066028899</v>
      </c>
      <c r="J12" s="12">
        <f t="shared" si="6"/>
        <v>0.61242089126925892</v>
      </c>
      <c r="K12" s="13">
        <f t="shared" si="7"/>
        <v>0.420824090214515</v>
      </c>
      <c r="L12" s="14">
        <f t="shared" si="8"/>
        <v>0.19309271787601953</v>
      </c>
      <c r="M12" s="13">
        <f>SUM(J4:J12)</f>
        <v>9.246699196545288</v>
      </c>
      <c r="N12" s="13">
        <f t="shared" ref="N12:O12" si="15">SUM(K4:K12)</f>
        <v>3.2844637039916087</v>
      </c>
      <c r="O12" s="14">
        <f t="shared" si="15"/>
        <v>1.383707241329196</v>
      </c>
      <c r="P12" s="3">
        <f t="shared" si="9"/>
        <v>30.341916969795857</v>
      </c>
      <c r="Q12" s="3">
        <f t="shared" si="3"/>
        <v>17.850346217345699</v>
      </c>
      <c r="R12" s="3">
        <f t="shared" si="4"/>
        <v>16.042982508164592</v>
      </c>
      <c r="S12">
        <f t="shared" si="5"/>
        <v>0.24199774159767118</v>
      </c>
    </row>
    <row r="13" spans="1:19" x14ac:dyDescent="0.3">
      <c r="A13" s="10">
        <v>9</v>
      </c>
      <c r="B13" s="5">
        <v>45</v>
      </c>
      <c r="C13" s="5">
        <v>210</v>
      </c>
      <c r="D13" s="10">
        <v>41025</v>
      </c>
      <c r="E13" s="5">
        <v>37901</v>
      </c>
      <c r="F13" s="11">
        <v>10701</v>
      </c>
      <c r="G13" s="49">
        <f t="shared" si="0"/>
        <v>3.4679381781673553</v>
      </c>
      <c r="H13" s="4">
        <f t="shared" si="1"/>
        <v>2.0199714086434279</v>
      </c>
      <c r="I13" s="50">
        <f t="shared" si="2"/>
        <v>1.0859056569617573</v>
      </c>
      <c r="J13" s="12">
        <f t="shared" si="6"/>
        <v>0.72826701741514466</v>
      </c>
      <c r="K13" s="13">
        <f t="shared" si="7"/>
        <v>0.42419399581511985</v>
      </c>
      <c r="L13" s="14">
        <f t="shared" si="8"/>
        <v>0.22804018796196907</v>
      </c>
      <c r="M13" s="13">
        <f>SUM(J4:J13)</f>
        <v>9.9749662139604318</v>
      </c>
      <c r="N13" s="13">
        <f t="shared" ref="N13:O13" si="16">SUM(K4:K13)</f>
        <v>3.7086576998067287</v>
      </c>
      <c r="O13" s="14">
        <f t="shared" si="16"/>
        <v>1.6117474292911651</v>
      </c>
      <c r="P13" s="3">
        <f t="shared" si="9"/>
        <v>32.731636469107244</v>
      </c>
      <c r="Q13" s="3">
        <f t="shared" si="3"/>
        <v>20.155748368514832</v>
      </c>
      <c r="R13" s="3">
        <f t="shared" si="4"/>
        <v>18.686926716419308</v>
      </c>
      <c r="S13">
        <f t="shared" si="5"/>
        <v>0.26600645814014479</v>
      </c>
    </row>
    <row r="14" spans="1:19" x14ac:dyDescent="0.3">
      <c r="A14" s="47">
        <v>10</v>
      </c>
      <c r="B14" s="48">
        <v>50</v>
      </c>
      <c r="C14" s="48">
        <v>206</v>
      </c>
      <c r="D14" s="47">
        <v>42098</v>
      </c>
      <c r="E14" s="48">
        <v>36958</v>
      </c>
      <c r="F14" s="53">
        <v>9309</v>
      </c>
      <c r="G14" s="40">
        <f t="shared" si="0"/>
        <v>3.5586413509930366</v>
      </c>
      <c r="H14" s="41">
        <f t="shared" si="1"/>
        <v>1.9697132877930348</v>
      </c>
      <c r="I14" s="42">
        <f t="shared" si="2"/>
        <v>0.94464963654396772</v>
      </c>
      <c r="J14" s="15">
        <f>G14*C14/1000</f>
        <v>0.73308011830456554</v>
      </c>
      <c r="K14" s="16">
        <f t="shared" si="7"/>
        <v>0.40576093728536516</v>
      </c>
      <c r="L14" s="17">
        <f t="shared" si="8"/>
        <v>0.19459782512805734</v>
      </c>
      <c r="M14" s="16">
        <f>SUM(J4:J14)</f>
        <v>10.708046332264997</v>
      </c>
      <c r="N14" s="16">
        <f t="shared" ref="N14" si="17">SUM(K4:K14)</f>
        <v>4.1144186370920934</v>
      </c>
      <c r="O14" s="17">
        <f>SUM(L4:L14)</f>
        <v>1.8063452544192224</v>
      </c>
      <c r="P14" s="3">
        <f t="shared" si="9"/>
        <v>35.137149572649697</v>
      </c>
      <c r="Q14" s="3">
        <f t="shared" si="3"/>
        <v>22.360970853761376</v>
      </c>
      <c r="R14" s="3">
        <f t="shared" si="4"/>
        <v>20.943133384570697</v>
      </c>
      <c r="S14">
        <f t="shared" si="5"/>
        <v>0.2891966995439359</v>
      </c>
    </row>
    <row r="15" spans="1:19" x14ac:dyDescent="0.3">
      <c r="A15" s="18">
        <v>11</v>
      </c>
      <c r="B15" s="19">
        <v>60</v>
      </c>
      <c r="C15" s="19">
        <v>400</v>
      </c>
      <c r="D15" s="18">
        <v>9077</v>
      </c>
      <c r="E15" s="19">
        <v>9682</v>
      </c>
      <c r="F15" s="20">
        <v>1786</v>
      </c>
      <c r="G15" s="51">
        <f>D15*$B$27/$B$28</f>
        <v>0.85511826888594566</v>
      </c>
      <c r="H15" s="43">
        <f t="shared" ref="H15:H18" si="18">E15*$C$27/$C$28</f>
        <v>0.63313819964321405</v>
      </c>
      <c r="I15" s="52">
        <f t="shared" ref="I15:I18" si="19">F15*$D$27/$D$28</f>
        <v>0.1836247671844364</v>
      </c>
      <c r="J15" s="44">
        <f t="shared" si="6"/>
        <v>0.34204730755437829</v>
      </c>
      <c r="K15" s="45">
        <f t="shared" si="7"/>
        <v>0.25325527985728563</v>
      </c>
      <c r="L15" s="46">
        <f t="shared" si="8"/>
        <v>7.3449906873774562E-2</v>
      </c>
      <c r="M15" s="45">
        <f>SUM(J4:J15)</f>
        <v>11.050093639819375</v>
      </c>
      <c r="N15" s="45">
        <f t="shared" ref="N15:O15" si="20">SUM(K4:K15)</f>
        <v>4.3676739169493795</v>
      </c>
      <c r="O15" s="46">
        <f t="shared" si="20"/>
        <v>1.8797951612929971</v>
      </c>
      <c r="P15" s="3">
        <f t="shared" si="9"/>
        <v>36.25953614378794</v>
      </c>
      <c r="Q15" s="3">
        <f t="shared" si="3"/>
        <v>23.737358244290107</v>
      </c>
      <c r="R15" s="3">
        <f t="shared" si="4"/>
        <v>21.794726507744894</v>
      </c>
      <c r="S15">
        <f t="shared" si="5"/>
        <v>0.30082717770542178</v>
      </c>
    </row>
    <row r="16" spans="1:19" x14ac:dyDescent="0.3">
      <c r="A16" s="10">
        <v>12</v>
      </c>
      <c r="B16" s="5">
        <v>70</v>
      </c>
      <c r="C16" s="5">
        <v>405</v>
      </c>
      <c r="D16" s="10">
        <v>12284</v>
      </c>
      <c r="E16" s="5">
        <v>10248</v>
      </c>
      <c r="F16" s="11">
        <v>2144</v>
      </c>
      <c r="G16" s="49">
        <f t="shared" ref="G16:G19" si="21">D16*$B$27/$B$28</f>
        <v>1.1572405877487006</v>
      </c>
      <c r="H16" s="4">
        <f t="shared" si="18"/>
        <v>0.67015082317121022</v>
      </c>
      <c r="I16" s="50">
        <f t="shared" si="19"/>
        <v>0.22043197135690465</v>
      </c>
      <c r="J16" s="12">
        <f t="shared" si="6"/>
        <v>0.46868243803822379</v>
      </c>
      <c r="K16" s="13">
        <f t="shared" si="7"/>
        <v>0.27141108338434017</v>
      </c>
      <c r="L16" s="14">
        <f t="shared" si="8"/>
        <v>8.9274948399546389E-2</v>
      </c>
      <c r="M16" s="13">
        <f>SUM(J4:J16)</f>
        <v>11.518776077857598</v>
      </c>
      <c r="N16" s="13">
        <f>SUM(K4:K16)</f>
        <v>4.6390850003337194</v>
      </c>
      <c r="O16" s="14">
        <f t="shared" ref="O16" si="22">SUM(L4:L16)</f>
        <v>1.9690701096925434</v>
      </c>
      <c r="P16" s="3">
        <f t="shared" si="9"/>
        <v>37.797460468769806</v>
      </c>
      <c r="Q16" s="3">
        <f t="shared" si="3"/>
        <v>25.212418480074565</v>
      </c>
      <c r="R16" s="3">
        <f t="shared" si="4"/>
        <v>22.829798373246881</v>
      </c>
      <c r="S16">
        <f t="shared" si="5"/>
        <v>0.31525097718058892</v>
      </c>
    </row>
    <row r="17" spans="1:19" x14ac:dyDescent="0.3">
      <c r="A17" s="10">
        <v>13</v>
      </c>
      <c r="B17" s="5">
        <v>80</v>
      </c>
      <c r="C17" s="5">
        <v>410</v>
      </c>
      <c r="D17" s="10">
        <v>10130</v>
      </c>
      <c r="E17" s="5">
        <v>9632</v>
      </c>
      <c r="F17" s="11">
        <v>2505</v>
      </c>
      <c r="G17" s="49">
        <f t="shared" si="21"/>
        <v>0.95431839416267816</v>
      </c>
      <c r="H17" s="4">
        <f t="shared" si="18"/>
        <v>0.62986853325381509</v>
      </c>
      <c r="I17" s="50">
        <f t="shared" si="19"/>
        <v>0.25754761578780139</v>
      </c>
      <c r="J17" s="12">
        <f t="shared" si="6"/>
        <v>0.39127054160669805</v>
      </c>
      <c r="K17" s="13">
        <f t="shared" si="7"/>
        <v>0.25824609863406417</v>
      </c>
      <c r="L17" s="14">
        <f t="shared" si="8"/>
        <v>0.10559452247299857</v>
      </c>
      <c r="M17" s="13">
        <f>SUM(J4:J17)</f>
        <v>11.910046619464296</v>
      </c>
      <c r="N17" s="13">
        <f t="shared" ref="N17:O17" si="23">SUM(K4:K17)</f>
        <v>4.8973310989677836</v>
      </c>
      <c r="O17" s="14">
        <f t="shared" si="23"/>
        <v>2.074664632165542</v>
      </c>
      <c r="P17" s="3">
        <f t="shared" si="9"/>
        <v>39.081367086019021</v>
      </c>
      <c r="Q17" s="3">
        <f t="shared" si="3"/>
        <v>26.615929885694481</v>
      </c>
      <c r="R17" s="3">
        <f t="shared" si="4"/>
        <v>24.054082691774397</v>
      </c>
      <c r="S17">
        <f t="shared" si="5"/>
        <v>0.32838334522778473</v>
      </c>
    </row>
    <row r="18" spans="1:19" x14ac:dyDescent="0.3">
      <c r="A18" s="10">
        <v>14</v>
      </c>
      <c r="B18" s="5">
        <v>90</v>
      </c>
      <c r="C18" s="5">
        <v>410</v>
      </c>
      <c r="D18" s="10">
        <v>8219</v>
      </c>
      <c r="E18" s="5">
        <v>8351</v>
      </c>
      <c r="F18" s="11">
        <v>2143</v>
      </c>
      <c r="G18" s="49">
        <f t="shared" si="21"/>
        <v>0.77428853717897839</v>
      </c>
      <c r="H18" s="4">
        <f t="shared" si="18"/>
        <v>0.54609968035741374</v>
      </c>
      <c r="I18" s="50">
        <f t="shared" si="19"/>
        <v>0.22032915793742847</v>
      </c>
      <c r="J18" s="12">
        <f t="shared" si="6"/>
        <v>0.31745830024338112</v>
      </c>
      <c r="K18" s="13">
        <f t="shared" si="7"/>
        <v>0.22390086894653966</v>
      </c>
      <c r="L18" s="14">
        <f t="shared" si="8"/>
        <v>9.0334954754345678E-2</v>
      </c>
      <c r="M18" s="13">
        <f>SUM(J4:J18)</f>
        <v>12.227504919707677</v>
      </c>
      <c r="N18" s="13">
        <f t="shared" ref="N18" si="24">SUM(K4:K18)</f>
        <v>5.1212319679143237</v>
      </c>
      <c r="O18" s="14">
        <f>SUM(L4:L18)</f>
        <v>2.1649995869198877</v>
      </c>
      <c r="P18" s="3">
        <f t="shared" si="9"/>
        <v>40.123067825127727</v>
      </c>
      <c r="Q18" s="3">
        <f t="shared" si="3"/>
        <v>27.832782434316982</v>
      </c>
      <c r="R18" s="3">
        <f t="shared" si="4"/>
        <v>25.101444486027685</v>
      </c>
      <c r="S18">
        <f t="shared" si="5"/>
        <v>0.33936932999203279</v>
      </c>
    </row>
    <row r="19" spans="1:19" x14ac:dyDescent="0.3">
      <c r="A19" s="47">
        <v>15</v>
      </c>
      <c r="B19" s="48">
        <v>100</v>
      </c>
      <c r="C19" s="48">
        <v>405</v>
      </c>
      <c r="D19" s="47">
        <v>12098</v>
      </c>
      <c r="E19" s="48">
        <v>10422</v>
      </c>
      <c r="F19" s="53">
        <v>3548</v>
      </c>
      <c r="G19" s="40">
        <f t="shared" si="21"/>
        <v>1.1397180584975399</v>
      </c>
      <c r="H19" s="41">
        <f>E19*$C$27/$C$28</f>
        <v>0.6815292622063186</v>
      </c>
      <c r="I19" s="42">
        <f>F19*$D$27/$D$28</f>
        <v>0.3647820123014448</v>
      </c>
      <c r="J19" s="15">
        <f t="shared" si="6"/>
        <v>0.4615858136915037</v>
      </c>
      <c r="K19" s="16">
        <f t="shared" si="7"/>
        <v>0.27601935119355903</v>
      </c>
      <c r="L19" s="17">
        <f t="shared" si="8"/>
        <v>0.14773671498208515</v>
      </c>
      <c r="M19" s="16">
        <f>SUM(J4:J19)</f>
        <v>12.68909073339918</v>
      </c>
      <c r="N19" s="16">
        <f t="shared" ref="N19:O19" si="25">SUM(K4:K19)</f>
        <v>5.397251319107883</v>
      </c>
      <c r="O19" s="17">
        <f t="shared" si="25"/>
        <v>2.3127363019019729</v>
      </c>
      <c r="P19" s="3">
        <f t="shared" si="9"/>
        <v>41.637705441834882</v>
      </c>
      <c r="Q19" s="3">
        <f t="shared" si="3"/>
        <v>29.33288760384719</v>
      </c>
      <c r="R19" s="3">
        <f t="shared" si="4"/>
        <v>26.814333935095338</v>
      </c>
      <c r="S19">
        <f t="shared" si="5"/>
        <v>0.35476658007667888</v>
      </c>
    </row>
    <row r="20" spans="1:19" x14ac:dyDescent="0.3">
      <c r="J20" s="40">
        <f>SUM(J5:J19)</f>
        <v>12.68909073339918</v>
      </c>
      <c r="K20" s="41">
        <f t="shared" ref="K20:L20" si="26">SUM(K5:K19)</f>
        <v>5.397251319107883</v>
      </c>
      <c r="L20" s="42">
        <f t="shared" si="26"/>
        <v>2.3127363019019729</v>
      </c>
    </row>
    <row r="23" spans="1:19" x14ac:dyDescent="0.3">
      <c r="A23" s="21" t="s">
        <v>50</v>
      </c>
      <c r="F23" s="21" t="s">
        <v>51</v>
      </c>
      <c r="G23" s="21"/>
    </row>
    <row r="24" spans="1:19" x14ac:dyDescent="0.3">
      <c r="A24" s="21"/>
      <c r="B24" t="s">
        <v>12</v>
      </c>
      <c r="C24" t="s">
        <v>13</v>
      </c>
      <c r="D24" t="s">
        <v>14</v>
      </c>
      <c r="F24" t="s">
        <v>26</v>
      </c>
      <c r="G24" s="1">
        <v>57.5</v>
      </c>
      <c r="J24" t="s">
        <v>11</v>
      </c>
    </row>
    <row r="25" spans="1:19" x14ac:dyDescent="0.3">
      <c r="A25" t="s">
        <v>17</v>
      </c>
      <c r="B25" s="4">
        <v>39.404400000000003</v>
      </c>
      <c r="C25" s="4">
        <v>40.04</v>
      </c>
      <c r="D25" s="5">
        <v>39.799999999999997</v>
      </c>
      <c r="G25" t="s">
        <v>12</v>
      </c>
      <c r="H25" t="s">
        <v>13</v>
      </c>
      <c r="I25" t="s">
        <v>14</v>
      </c>
    </row>
    <row r="26" spans="1:19" x14ac:dyDescent="0.3">
      <c r="A26" t="s">
        <v>18</v>
      </c>
      <c r="B26" s="5">
        <v>466146</v>
      </c>
      <c r="C26" s="5">
        <v>751276</v>
      </c>
      <c r="D26" s="5">
        <v>392207</v>
      </c>
      <c r="F26" t="s">
        <v>24</v>
      </c>
      <c r="G26">
        <v>53</v>
      </c>
      <c r="H26">
        <v>32</v>
      </c>
      <c r="I26">
        <v>15</v>
      </c>
      <c r="J26" s="3">
        <f>SUM(G26:I26)</f>
        <v>100</v>
      </c>
    </row>
    <row r="27" spans="1:19" x14ac:dyDescent="0.3">
      <c r="A27" t="s">
        <v>45</v>
      </c>
      <c r="B27">
        <v>39.404400000000003</v>
      </c>
      <c r="C27">
        <v>25</v>
      </c>
      <c r="D27">
        <v>39.799999999999997</v>
      </c>
      <c r="F27" t="s">
        <v>28</v>
      </c>
      <c r="G27" s="3">
        <f>G24*G26/100</f>
        <v>30.475000000000001</v>
      </c>
      <c r="H27" s="3">
        <f>G24*H26/100</f>
        <v>18.399999999999999</v>
      </c>
      <c r="I27" s="3">
        <f>G24*I26/100</f>
        <v>8.625</v>
      </c>
      <c r="J27" s="3">
        <f>SUM(G27:I27)</f>
        <v>57.5</v>
      </c>
    </row>
    <row r="28" spans="1:19" x14ac:dyDescent="0.3">
      <c r="A28" t="s">
        <v>18</v>
      </c>
      <c r="B28">
        <v>418274</v>
      </c>
      <c r="C28">
        <v>382302</v>
      </c>
      <c r="D28">
        <v>387109</v>
      </c>
      <c r="F28" s="21" t="s">
        <v>48</v>
      </c>
      <c r="J28" s="3"/>
    </row>
    <row r="29" spans="1:19" x14ac:dyDescent="0.3">
      <c r="A29" t="s">
        <v>19</v>
      </c>
      <c r="B29">
        <v>1.109</v>
      </c>
      <c r="C29">
        <v>4.9669999999999996</v>
      </c>
      <c r="D29">
        <v>3.161</v>
      </c>
      <c r="F29" t="s">
        <v>27</v>
      </c>
      <c r="G29" s="3">
        <f>SUM(J4:J14)</f>
        <v>10.708046332264997</v>
      </c>
      <c r="H29" s="3">
        <f>SUM(K4:K14)</f>
        <v>4.1144186370920934</v>
      </c>
      <c r="I29" s="3">
        <f>SUM(L4:L14)</f>
        <v>1.8063452544192224</v>
      </c>
      <c r="J29" s="3">
        <f t="shared" ref="J29:J30" si="27">SUM(G29:I29)</f>
        <v>16.628810223776313</v>
      </c>
    </row>
    <row r="30" spans="1:19" x14ac:dyDescent="0.3">
      <c r="A30" t="s">
        <v>20</v>
      </c>
      <c r="B30">
        <v>315</v>
      </c>
      <c r="C30">
        <v>296</v>
      </c>
      <c r="D30">
        <v>235</v>
      </c>
      <c r="F30" t="s">
        <v>29</v>
      </c>
      <c r="G30" s="3">
        <f>G27-G29</f>
        <v>19.766953667735002</v>
      </c>
      <c r="H30" s="3">
        <f>H27-H29</f>
        <v>14.285581362907905</v>
      </c>
      <c r="I30" s="3">
        <f>I27-I29</f>
        <v>6.818654745580778</v>
      </c>
      <c r="J30" s="55">
        <f t="shared" si="27"/>
        <v>40.871189776223687</v>
      </c>
    </row>
    <row r="31" spans="1:19" ht="15" thickBot="1" x14ac:dyDescent="0.35">
      <c r="F31" t="s">
        <v>30</v>
      </c>
      <c r="G31" s="3">
        <f>100*G29/G27</f>
        <v>35.137149572649697</v>
      </c>
      <c r="H31" s="3">
        <f t="shared" ref="H31:I31" si="28">100*H29/H27</f>
        <v>22.360970853761376</v>
      </c>
      <c r="I31" s="3">
        <f t="shared" si="28"/>
        <v>20.943133384570697</v>
      </c>
      <c r="J31" s="3">
        <f>J29*100/J27</f>
        <v>28.919669954393587</v>
      </c>
    </row>
    <row r="32" spans="1:19" x14ac:dyDescent="0.3">
      <c r="A32" s="60"/>
      <c r="B32" s="116" t="s">
        <v>19</v>
      </c>
      <c r="C32" s="117"/>
      <c r="D32" s="118"/>
      <c r="F32" t="s">
        <v>31</v>
      </c>
      <c r="G32" s="3">
        <f>100-G31</f>
        <v>64.86285042735031</v>
      </c>
      <c r="H32" s="3">
        <f t="shared" ref="H32:I32" si="29">100-H31</f>
        <v>77.639029146238627</v>
      </c>
      <c r="I32" s="3">
        <f t="shared" si="29"/>
        <v>79.0568666154293</v>
      </c>
      <c r="J32" s="3">
        <f>J30*100/J27</f>
        <v>71.080330045606416</v>
      </c>
    </row>
    <row r="33" spans="1:10" x14ac:dyDescent="0.3">
      <c r="A33" s="61" t="s">
        <v>54</v>
      </c>
      <c r="B33" s="62" t="s">
        <v>55</v>
      </c>
      <c r="C33" s="62" t="s">
        <v>52</v>
      </c>
      <c r="D33" s="63" t="s">
        <v>53</v>
      </c>
      <c r="F33" t="s">
        <v>32</v>
      </c>
      <c r="J33" s="56">
        <v>40</v>
      </c>
    </row>
    <row r="34" spans="1:10" x14ac:dyDescent="0.3">
      <c r="A34" s="64" t="s">
        <v>12</v>
      </c>
      <c r="B34" s="30">
        <f>SLOPE(M4:M7,B4:B7)</f>
        <v>0.39867709439888788</v>
      </c>
      <c r="C34" s="30">
        <f>SLOPE(M7:M14,B7:B14)</f>
        <v>0.12867284812783972</v>
      </c>
      <c r="D34" s="65">
        <f>SLOPE(M14:M19,B14:B19)</f>
        <v>3.9510646819835758E-2</v>
      </c>
      <c r="F34" s="21" t="s">
        <v>49</v>
      </c>
    </row>
    <row r="35" spans="1:10" x14ac:dyDescent="0.3">
      <c r="A35" s="64" t="s">
        <v>13</v>
      </c>
      <c r="B35" s="30">
        <f>SLOPE(N4:N14,B4:B14)</f>
        <v>8.3828723436925962E-2</v>
      </c>
      <c r="C35" s="30"/>
      <c r="D35" s="65">
        <f>SLOPE(N14:N19,B14:B19)</f>
        <v>2.5523096176022414E-2</v>
      </c>
      <c r="F35" t="s">
        <v>27</v>
      </c>
      <c r="G35" s="9">
        <f>SUM(J5:J19)</f>
        <v>12.68909073339918</v>
      </c>
      <c r="H35" s="9">
        <f t="shared" ref="H35:I35" si="30">SUM(K5:K19)</f>
        <v>5.397251319107883</v>
      </c>
      <c r="I35" s="9">
        <f t="shared" si="30"/>
        <v>2.3127363019019729</v>
      </c>
      <c r="J35" s="39">
        <f>SUM(G35:I35)</f>
        <v>20.399078354409035</v>
      </c>
    </row>
    <row r="36" spans="1:10" ht="15" thickBot="1" x14ac:dyDescent="0.35">
      <c r="A36" s="66" t="s">
        <v>14</v>
      </c>
      <c r="B36" s="67">
        <f>SLOPE(O4:O14,B4:B14)</f>
        <v>3.6518970988650007E-2</v>
      </c>
      <c r="C36" s="67"/>
      <c r="D36" s="68">
        <f>SLOPE(O14:O19,B14:B19)</f>
        <v>9.9804658193354927E-3</v>
      </c>
      <c r="F36" t="s">
        <v>29</v>
      </c>
      <c r="G36" s="3">
        <f>G27-G35</f>
        <v>17.785909266600822</v>
      </c>
      <c r="H36" s="3">
        <f t="shared" ref="H36:I36" si="31">H27-H35</f>
        <v>13.002748680892115</v>
      </c>
      <c r="I36" s="3">
        <f t="shared" si="31"/>
        <v>6.3122636980980271</v>
      </c>
      <c r="J36" s="57">
        <f>SUM(G36:I36)</f>
        <v>37.100921645590965</v>
      </c>
    </row>
    <row r="37" spans="1:10" x14ac:dyDescent="0.3">
      <c r="A37" s="100"/>
      <c r="B37" s="100"/>
      <c r="C37" s="100" t="s">
        <v>24</v>
      </c>
      <c r="D37" s="100"/>
      <c r="F37" t="s">
        <v>30</v>
      </c>
      <c r="G37" s="3">
        <f>100*G35/G27</f>
        <v>41.637705441834882</v>
      </c>
      <c r="H37" s="3">
        <f t="shared" ref="H37:I37" si="32">100*H35/H27</f>
        <v>29.33288760384719</v>
      </c>
      <c r="I37" s="3">
        <f t="shared" si="32"/>
        <v>26.814333935095338</v>
      </c>
      <c r="J37" s="39">
        <f>J35*100/J27</f>
        <v>35.476658007667886</v>
      </c>
    </row>
    <row r="38" spans="1:10" x14ac:dyDescent="0.3">
      <c r="A38" s="101" t="s">
        <v>12</v>
      </c>
      <c r="B38" s="100">
        <f>SLOPE(P4:P7,B4:B7)</f>
        <v>1.3082103179618962</v>
      </c>
      <c r="C38" s="100">
        <f>SLOPE(Q8:Q14,B8:B14)</f>
        <v>0.45223104861942698</v>
      </c>
      <c r="D38" s="100">
        <f>SLOPE(M14:M19,B14:B19)</f>
        <v>3.9510646819835758E-2</v>
      </c>
      <c r="F38" t="s">
        <v>31</v>
      </c>
      <c r="G38" s="22">
        <f>G36*100/G27</f>
        <v>58.362294558165125</v>
      </c>
      <c r="H38" s="22">
        <f t="shared" ref="H38:I38" si="33">H36*100/H27</f>
        <v>70.667112396152802</v>
      </c>
      <c r="I38" s="22">
        <f t="shared" si="33"/>
        <v>73.185666064904666</v>
      </c>
      <c r="J38" s="3">
        <f>J36*100/J27</f>
        <v>64.523341992332121</v>
      </c>
    </row>
    <row r="39" spans="1:10" x14ac:dyDescent="0.3">
      <c r="A39" s="101" t="s">
        <v>13</v>
      </c>
      <c r="B39" s="100">
        <f>SLOPE(Q4:Q14,B4:B14)</f>
        <v>0.45559088824416283</v>
      </c>
      <c r="C39" s="100"/>
      <c r="D39" s="100">
        <f>SLOPE(N14:N19,B14:B19)</f>
        <v>2.5523096176022414E-2</v>
      </c>
      <c r="F39" t="s">
        <v>32</v>
      </c>
      <c r="G39" s="22"/>
      <c r="H39" s="22"/>
      <c r="I39" s="22"/>
      <c r="J39" s="57">
        <v>37.700000000000003</v>
      </c>
    </row>
    <row r="40" spans="1:10" ht="15" thickBot="1" x14ac:dyDescent="0.35">
      <c r="A40" s="102" t="s">
        <v>14</v>
      </c>
      <c r="B40" s="100">
        <f>SLOPE(Q5:Q14,B5:B14)</f>
        <v>0.46070570182779269</v>
      </c>
      <c r="C40" s="100"/>
      <c r="D40" s="100">
        <f>SLOPE(O14:O19,B14:B19)</f>
        <v>9.9804658193354927E-3</v>
      </c>
    </row>
  </sheetData>
  <mergeCells count="3">
    <mergeCell ref="G2:I2"/>
    <mergeCell ref="J2:L2"/>
    <mergeCell ref="B32:D3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8"/>
  <sheetViews>
    <sheetView zoomScale="70" zoomScaleNormal="70" workbookViewId="0">
      <selection activeCell="B33" sqref="B33"/>
    </sheetView>
  </sheetViews>
  <sheetFormatPr defaultRowHeight="14.4" x14ac:dyDescent="0.3"/>
  <cols>
    <col min="1" max="1" width="11.33203125" customWidth="1"/>
    <col min="2" max="2" width="8.109375" customWidth="1"/>
    <col min="7" max="7" width="9.109375" customWidth="1"/>
    <col min="8" max="8" width="9.33203125" customWidth="1"/>
    <col min="9" max="9" width="7.33203125" customWidth="1"/>
    <col min="10" max="10" width="9.5546875" bestFit="1" customWidth="1"/>
    <col min="11" max="12" width="9" bestFit="1" customWidth="1"/>
  </cols>
  <sheetData>
    <row r="1" spans="1:19" ht="18" x14ac:dyDescent="0.35">
      <c r="A1" s="2" t="s">
        <v>5</v>
      </c>
      <c r="B1" s="2"/>
    </row>
    <row r="2" spans="1:19" x14ac:dyDescent="0.3">
      <c r="D2" s="18"/>
      <c r="E2" s="19" t="s">
        <v>15</v>
      </c>
      <c r="F2" s="20"/>
      <c r="G2" s="113" t="s">
        <v>17</v>
      </c>
      <c r="H2" s="114"/>
      <c r="I2" s="114"/>
      <c r="J2" s="113" t="s">
        <v>22</v>
      </c>
      <c r="K2" s="114"/>
      <c r="L2" s="115"/>
      <c r="M2" t="s">
        <v>23</v>
      </c>
      <c r="S2" t="s">
        <v>80</v>
      </c>
    </row>
    <row r="3" spans="1:19" x14ac:dyDescent="0.3">
      <c r="A3" t="s">
        <v>6</v>
      </c>
      <c r="B3" t="s">
        <v>19</v>
      </c>
      <c r="C3" t="s">
        <v>7</v>
      </c>
      <c r="D3" s="18" t="s">
        <v>12</v>
      </c>
      <c r="E3" s="19" t="s">
        <v>13</v>
      </c>
      <c r="F3" s="19" t="s">
        <v>14</v>
      </c>
      <c r="G3" s="19" t="s">
        <v>12</v>
      </c>
      <c r="H3" s="19" t="s">
        <v>13</v>
      </c>
      <c r="I3" s="19" t="s">
        <v>14</v>
      </c>
      <c r="J3" s="18" t="s">
        <v>12</v>
      </c>
      <c r="K3" s="19" t="s">
        <v>13</v>
      </c>
      <c r="L3" s="20" t="s">
        <v>14</v>
      </c>
      <c r="M3" s="18" t="s">
        <v>12</v>
      </c>
      <c r="N3" s="19" t="s">
        <v>13</v>
      </c>
      <c r="O3" s="20" t="s">
        <v>14</v>
      </c>
      <c r="S3" t="s">
        <v>11</v>
      </c>
    </row>
    <row r="4" spans="1:19" x14ac:dyDescent="0.3">
      <c r="A4" s="18">
        <v>0</v>
      </c>
      <c r="B4" s="19">
        <v>0</v>
      </c>
      <c r="C4" s="19" t="s">
        <v>8</v>
      </c>
      <c r="D4" s="19" t="s">
        <v>21</v>
      </c>
      <c r="E4" s="19">
        <v>7570</v>
      </c>
      <c r="F4" s="19" t="s">
        <v>21</v>
      </c>
      <c r="G4" s="19"/>
      <c r="H4" s="19"/>
      <c r="I4" s="19"/>
      <c r="J4" s="18"/>
      <c r="K4" s="19"/>
      <c r="L4" s="20"/>
      <c r="M4" s="19">
        <v>0</v>
      </c>
      <c r="N4" s="19">
        <v>0</v>
      </c>
      <c r="O4" s="20">
        <v>0</v>
      </c>
      <c r="P4" s="9">
        <f>M4*100/$G$26</f>
        <v>0</v>
      </c>
      <c r="Q4" s="3">
        <f>N4*100/$H$26</f>
        <v>0</v>
      </c>
      <c r="R4" s="9">
        <f>O4*100/$I$26</f>
        <v>0</v>
      </c>
      <c r="S4">
        <f>(M4+N4+O4)/$G$23</f>
        <v>0</v>
      </c>
    </row>
    <row r="5" spans="1:19" x14ac:dyDescent="0.3">
      <c r="A5" s="10">
        <v>1</v>
      </c>
      <c r="B5" s="5">
        <v>5</v>
      </c>
      <c r="C5" s="5">
        <v>196</v>
      </c>
      <c r="D5" s="5">
        <v>53743</v>
      </c>
      <c r="E5" s="5">
        <v>21879</v>
      </c>
      <c r="F5" s="5">
        <v>6423</v>
      </c>
      <c r="G5" s="4">
        <f t="shared" ref="G5:G14" si="0">D5*$B$23/$B$24</f>
        <v>4.5114594993257455</v>
      </c>
      <c r="H5" s="4">
        <f t="shared" ref="H5:H14" si="1">E5*$C$23/$C$24</f>
        <v>1.1629732155184316</v>
      </c>
      <c r="I5" s="4">
        <f t="shared" ref="I5:I14" si="2">F5*$D$23/$D$24</f>
        <v>0.62927030998840583</v>
      </c>
      <c r="J5" s="12">
        <f>G5*C5/1000</f>
        <v>0.88424606186784616</v>
      </c>
      <c r="K5" s="13">
        <f>H5*C5/1000</f>
        <v>0.22794275024161259</v>
      </c>
      <c r="L5" s="14">
        <f>I5*C5/1000</f>
        <v>0.12333698075772755</v>
      </c>
      <c r="M5" s="13">
        <f>J5+J4</f>
        <v>0.88424606186784616</v>
      </c>
      <c r="N5" s="13">
        <f>K5+K4</f>
        <v>0.22794275024161259</v>
      </c>
      <c r="O5" s="14">
        <f>L5+L4</f>
        <v>0.12333698075772755</v>
      </c>
      <c r="P5" s="9">
        <f t="shared" ref="P5:P19" si="3">M5*100/$G$26</f>
        <v>4.8641072769010743</v>
      </c>
      <c r="Q5" s="3">
        <f t="shared" ref="Q5:Q19" si="4">N5*100/$H$26</f>
        <v>2.0767378848543423</v>
      </c>
      <c r="R5" s="9">
        <f t="shared" ref="R5:R19" si="5">O5*100/$I$26</f>
        <v>2.3972202285272606</v>
      </c>
      <c r="S5">
        <f t="shared" ref="S5:S19" si="6">(M5+N5+O5)/$G$23</f>
        <v>3.6021160141900481E-2</v>
      </c>
    </row>
    <row r="6" spans="1:19" x14ac:dyDescent="0.3">
      <c r="A6" s="10">
        <v>2</v>
      </c>
      <c r="B6" s="5">
        <v>10</v>
      </c>
      <c r="C6" s="5">
        <v>197</v>
      </c>
      <c r="D6" s="5">
        <v>39637</v>
      </c>
      <c r="E6" s="5">
        <v>21319</v>
      </c>
      <c r="F6" s="5">
        <v>5610</v>
      </c>
      <c r="G6" s="4">
        <f t="shared" si="0"/>
        <v>3.327330446286485</v>
      </c>
      <c r="H6" s="4">
        <f t="shared" si="1"/>
        <v>1.1332065442496204</v>
      </c>
      <c r="I6" s="4">
        <f t="shared" si="2"/>
        <v>0.54961956080257768</v>
      </c>
      <c r="J6" s="12">
        <f t="shared" ref="J6:J14" si="7">G6*C6/1000</f>
        <v>0.65548409791843754</v>
      </c>
      <c r="K6" s="13">
        <f t="shared" ref="K6:K14" si="8">H6*C6/1000</f>
        <v>0.22324168921717524</v>
      </c>
      <c r="L6" s="14">
        <f t="shared" ref="L6:L14" si="9">I6*C6/1000</f>
        <v>0.10827505347810781</v>
      </c>
      <c r="M6" s="13">
        <f>SUM(J5:J6)</f>
        <v>1.5397301597862838</v>
      </c>
      <c r="N6" s="13">
        <f>SUM(K5:K6)</f>
        <v>0.45118443945878783</v>
      </c>
      <c r="O6" s="14">
        <f>SUM(L5:L6)</f>
        <v>0.23161203423583537</v>
      </c>
      <c r="P6" s="9">
        <f t="shared" si="3"/>
        <v>8.4698287022734142</v>
      </c>
      <c r="Q6" s="3">
        <f t="shared" si="4"/>
        <v>4.1106454032323967</v>
      </c>
      <c r="R6" s="9">
        <f t="shared" si="5"/>
        <v>4.5016916275186665</v>
      </c>
      <c r="S6">
        <f t="shared" si="6"/>
        <v>6.4796694853670761E-2</v>
      </c>
    </row>
    <row r="7" spans="1:19" x14ac:dyDescent="0.3">
      <c r="A7" s="10">
        <v>3</v>
      </c>
      <c r="B7" s="5">
        <v>15</v>
      </c>
      <c r="C7" s="5">
        <v>196</v>
      </c>
      <c r="D7" s="5">
        <v>30863</v>
      </c>
      <c r="E7" s="5">
        <v>22565</v>
      </c>
      <c r="F7" s="5">
        <v>5269</v>
      </c>
      <c r="G7" s="4">
        <f t="shared" si="0"/>
        <v>2.5907964670318084</v>
      </c>
      <c r="H7" s="4">
        <f t="shared" si="1"/>
        <v>1.1994373878227254</v>
      </c>
      <c r="I7" s="4">
        <f t="shared" si="2"/>
        <v>0.51621131298908773</v>
      </c>
      <c r="J7" s="12">
        <f t="shared" si="7"/>
        <v>0.50779610753823445</v>
      </c>
      <c r="K7" s="13">
        <f t="shared" si="8"/>
        <v>0.23508972801325417</v>
      </c>
      <c r="L7" s="14">
        <f t="shared" si="9"/>
        <v>0.10117741734586121</v>
      </c>
      <c r="M7" s="13">
        <f>SUM(J5:J7)</f>
        <v>2.0475262673245185</v>
      </c>
      <c r="N7" s="13">
        <f t="shared" ref="N7:O7" si="10">SUM(K5:K7)</f>
        <v>0.68627416747204206</v>
      </c>
      <c r="O7" s="14">
        <f t="shared" si="10"/>
        <v>0.33278945158169659</v>
      </c>
      <c r="P7" s="9">
        <f t="shared" si="3"/>
        <v>11.263140257024691</v>
      </c>
      <c r="Q7" s="3">
        <f t="shared" si="4"/>
        <v>6.2524978814872645</v>
      </c>
      <c r="R7" s="9">
        <f t="shared" si="5"/>
        <v>6.4682109150961447</v>
      </c>
      <c r="S7">
        <f t="shared" si="6"/>
        <v>8.9404952955634318E-2</v>
      </c>
    </row>
    <row r="8" spans="1:19" x14ac:dyDescent="0.3">
      <c r="A8" s="10">
        <v>4</v>
      </c>
      <c r="B8" s="5">
        <v>20</v>
      </c>
      <c r="C8" s="5">
        <v>196</v>
      </c>
      <c r="D8" s="5">
        <v>25305</v>
      </c>
      <c r="E8" s="5">
        <v>20122</v>
      </c>
      <c r="F8" s="5">
        <v>4551</v>
      </c>
      <c r="G8" s="4">
        <f t="shared" si="0"/>
        <v>2.1242298090995662</v>
      </c>
      <c r="H8" s="4">
        <f t="shared" si="1"/>
        <v>1.0695802844125362</v>
      </c>
      <c r="I8" s="4">
        <f t="shared" si="2"/>
        <v>0.44586784691845477</v>
      </c>
      <c r="J8" s="12">
        <f t="shared" si="7"/>
        <v>0.41634904258351496</v>
      </c>
      <c r="K8" s="13">
        <f t="shared" si="8"/>
        <v>0.20963773574485708</v>
      </c>
      <c r="L8" s="14">
        <f t="shared" si="9"/>
        <v>8.739009799601713E-2</v>
      </c>
      <c r="M8" s="13">
        <f>SUM(J4:J8)</f>
        <v>2.4638753099080333</v>
      </c>
      <c r="N8" s="13">
        <f t="shared" ref="N8:O8" si="11">SUM(K4:K8)</f>
        <v>0.89591190321689917</v>
      </c>
      <c r="O8" s="14">
        <f t="shared" si="11"/>
        <v>0.42017954957771375</v>
      </c>
      <c r="P8" s="9">
        <f t="shared" si="3"/>
        <v>13.553414983816676</v>
      </c>
      <c r="Q8" s="3">
        <f t="shared" si="4"/>
        <v>8.1624626750810787</v>
      </c>
      <c r="R8" s="9">
        <f t="shared" si="5"/>
        <v>8.1667550938331157</v>
      </c>
      <c r="S8">
        <f t="shared" si="6"/>
        <v>0.11020311261523751</v>
      </c>
    </row>
    <row r="9" spans="1:19" x14ac:dyDescent="0.3">
      <c r="A9" s="10">
        <v>5</v>
      </c>
      <c r="B9" s="5">
        <v>25</v>
      </c>
      <c r="C9" s="5">
        <v>196</v>
      </c>
      <c r="D9" s="5">
        <v>21285</v>
      </c>
      <c r="E9" s="5">
        <v>20355</v>
      </c>
      <c r="F9" s="5">
        <v>4956</v>
      </c>
      <c r="G9" s="4">
        <f t="shared" si="0"/>
        <v>1.7867706574465232</v>
      </c>
      <c r="H9" s="4">
        <f t="shared" si="1"/>
        <v>1.0819653458511667</v>
      </c>
      <c r="I9" s="4">
        <f t="shared" si="2"/>
        <v>0.48554626440954995</v>
      </c>
      <c r="J9" s="12">
        <f t="shared" si="7"/>
        <v>0.35020704885951853</v>
      </c>
      <c r="K9" s="13">
        <f t="shared" si="8"/>
        <v>0.21206520778682866</v>
      </c>
      <c r="L9" s="14">
        <f t="shared" si="9"/>
        <v>9.5167067824271798E-2</v>
      </c>
      <c r="M9" s="13">
        <f>SUM(J4:J9)</f>
        <v>2.8140823587675516</v>
      </c>
      <c r="N9" s="13">
        <f t="shared" ref="N9:O9" si="12">SUM(K4:K9)</f>
        <v>1.1079771110037278</v>
      </c>
      <c r="O9" s="14">
        <f t="shared" si="12"/>
        <v>0.51534661740198551</v>
      </c>
      <c r="P9" s="9">
        <f t="shared" si="3"/>
        <v>15.479852350335838</v>
      </c>
      <c r="Q9" s="3">
        <f t="shared" si="4"/>
        <v>10.094543649815305</v>
      </c>
      <c r="R9" s="9">
        <f t="shared" si="5"/>
        <v>10.016455148726639</v>
      </c>
      <c r="S9">
        <f t="shared" si="6"/>
        <v>0.12937043985927887</v>
      </c>
    </row>
    <row r="10" spans="1:19" x14ac:dyDescent="0.3">
      <c r="A10" s="10">
        <v>6</v>
      </c>
      <c r="B10" s="5">
        <v>30</v>
      </c>
      <c r="C10" s="5">
        <v>198</v>
      </c>
      <c r="D10" s="5">
        <v>14147</v>
      </c>
      <c r="E10" s="5">
        <v>13350</v>
      </c>
      <c r="F10" s="5">
        <v>4045</v>
      </c>
      <c r="G10" s="4">
        <f t="shared" si="0"/>
        <v>1.1875708006058707</v>
      </c>
      <c r="H10" s="4">
        <f t="shared" si="1"/>
        <v>0.70961618114041147</v>
      </c>
      <c r="I10" s="4">
        <f t="shared" si="2"/>
        <v>0.39629431790488895</v>
      </c>
      <c r="J10" s="12">
        <f t="shared" si="7"/>
        <v>0.23513901851996241</v>
      </c>
      <c r="K10" s="13">
        <f t="shared" si="8"/>
        <v>0.14050400386580147</v>
      </c>
      <c r="L10" s="14">
        <f t="shared" si="9"/>
        <v>7.8466274945168016E-2</v>
      </c>
      <c r="M10" s="13">
        <f>SUM(J4:J10)</f>
        <v>3.0492213772875139</v>
      </c>
      <c r="N10" s="13">
        <f t="shared" ref="N10:O10" si="13">SUM(K4:K10)</f>
        <v>1.2484811148695292</v>
      </c>
      <c r="O10" s="14">
        <f t="shared" si="13"/>
        <v>0.59381289234715351</v>
      </c>
      <c r="P10" s="9">
        <f t="shared" si="3"/>
        <v>16.773317439284419</v>
      </c>
      <c r="Q10" s="3">
        <f t="shared" si="4"/>
        <v>11.374645725852126</v>
      </c>
      <c r="R10" s="9">
        <f t="shared" si="5"/>
        <v>11.54155281529939</v>
      </c>
      <c r="S10">
        <f t="shared" si="6"/>
        <v>0.1426097779738833</v>
      </c>
    </row>
    <row r="11" spans="1:19" x14ac:dyDescent="0.3">
      <c r="A11" s="10">
        <v>7</v>
      </c>
      <c r="B11" s="5">
        <v>35</v>
      </c>
      <c r="C11" s="5">
        <v>197</v>
      </c>
      <c r="D11" s="5">
        <v>16693</v>
      </c>
      <c r="E11" s="5">
        <v>18924</v>
      </c>
      <c r="F11" s="5">
        <v>4829</v>
      </c>
      <c r="G11" s="4">
        <f t="shared" si="0"/>
        <v>1.4012949299861315</v>
      </c>
      <c r="H11" s="4">
        <f t="shared" si="1"/>
        <v>1.0059008698053293</v>
      </c>
      <c r="I11" s="4">
        <f t="shared" si="2"/>
        <v>0.47310389645555223</v>
      </c>
      <c r="J11" s="12">
        <f t="shared" si="7"/>
        <v>0.27605510120726789</v>
      </c>
      <c r="K11" s="13">
        <f t="shared" si="8"/>
        <v>0.19816247135164988</v>
      </c>
      <c r="L11" s="14">
        <f t="shared" si="9"/>
        <v>9.320146760174379E-2</v>
      </c>
      <c r="M11" s="13">
        <f>SUM(J4:J11)</f>
        <v>3.3252764784947817</v>
      </c>
      <c r="N11" s="13">
        <f t="shared" ref="N11:O11" si="14">SUM(K4:K11)</f>
        <v>1.4466435862211791</v>
      </c>
      <c r="O11" s="14">
        <f t="shared" si="14"/>
        <v>0.68701435994889726</v>
      </c>
      <c r="P11" s="9">
        <f t="shared" si="3"/>
        <v>18.291855869381056</v>
      </c>
      <c r="Q11" s="3">
        <f t="shared" si="4"/>
        <v>13.180061827816866</v>
      </c>
      <c r="R11" s="9">
        <f t="shared" si="5"/>
        <v>13.353048784235126</v>
      </c>
      <c r="S11">
        <f t="shared" si="6"/>
        <v>0.15915260713308624</v>
      </c>
    </row>
    <row r="12" spans="1:19" x14ac:dyDescent="0.3">
      <c r="A12" s="10">
        <v>8</v>
      </c>
      <c r="B12" s="5">
        <v>40</v>
      </c>
      <c r="C12" s="5">
        <v>198</v>
      </c>
      <c r="D12" s="5">
        <v>16006</v>
      </c>
      <c r="E12" s="5">
        <v>17570</v>
      </c>
      <c r="F12" s="5">
        <v>4132</v>
      </c>
      <c r="G12" s="4">
        <f t="shared" si="0"/>
        <v>1.3436246719797533</v>
      </c>
      <c r="H12" s="4">
        <f t="shared" si="1"/>
        <v>0.93392931105895338</v>
      </c>
      <c r="I12" s="4">
        <f t="shared" si="2"/>
        <v>0.40481782981038344</v>
      </c>
      <c r="J12" s="12">
        <f t="shared" si="7"/>
        <v>0.26603768505199116</v>
      </c>
      <c r="K12" s="13">
        <f t="shared" si="8"/>
        <v>0.18491800358967275</v>
      </c>
      <c r="L12" s="14">
        <f t="shared" si="9"/>
        <v>8.015393030245592E-2</v>
      </c>
      <c r="M12" s="13">
        <f>SUM(J4:J12)</f>
        <v>3.5913141635467727</v>
      </c>
      <c r="N12" s="13">
        <f t="shared" ref="N12:O12" si="15">SUM(K4:K12)</f>
        <v>1.6315615898108518</v>
      </c>
      <c r="O12" s="14">
        <f t="shared" si="15"/>
        <v>0.76716829025135314</v>
      </c>
      <c r="P12" s="9">
        <f t="shared" si="3"/>
        <v>19.755289969452516</v>
      </c>
      <c r="Q12" s="3">
        <f t="shared" si="4"/>
        <v>14.864810402795664</v>
      </c>
      <c r="R12" s="9">
        <f t="shared" si="5"/>
        <v>14.910948304205116</v>
      </c>
      <c r="S12">
        <f t="shared" si="6"/>
        <v>0.17463685258335215</v>
      </c>
    </row>
    <row r="13" spans="1:19" x14ac:dyDescent="0.3">
      <c r="A13" s="10">
        <v>9</v>
      </c>
      <c r="B13" s="5">
        <v>45</v>
      </c>
      <c r="C13" s="5">
        <v>198</v>
      </c>
      <c r="D13" s="5">
        <v>17770</v>
      </c>
      <c r="E13" s="5">
        <v>18908</v>
      </c>
      <c r="F13" s="5">
        <v>5813</v>
      </c>
      <c r="G13" s="4">
        <f t="shared" si="0"/>
        <v>1.4917037624066112</v>
      </c>
      <c r="H13" s="4">
        <f t="shared" si="1"/>
        <v>1.0050503934833632</v>
      </c>
      <c r="I13" s="4">
        <f t="shared" si="2"/>
        <v>0.56950775524873165</v>
      </c>
      <c r="J13" s="12">
        <f t="shared" si="7"/>
        <v>0.295357344956509</v>
      </c>
      <c r="K13" s="13">
        <f t="shared" si="8"/>
        <v>0.19899997790970592</v>
      </c>
      <c r="L13" s="14">
        <f t="shared" si="9"/>
        <v>0.11276253553924888</v>
      </c>
      <c r="M13" s="13">
        <f>SUM(J4:J13)</f>
        <v>3.8866715085032819</v>
      </c>
      <c r="N13" s="13">
        <f t="shared" ref="N13:O13" si="16">SUM(K4:K13)</f>
        <v>1.8305615677205576</v>
      </c>
      <c r="O13" s="14">
        <f t="shared" si="16"/>
        <v>0.879930825790602</v>
      </c>
      <c r="P13" s="9">
        <f t="shared" si="3"/>
        <v>21.380007197883725</v>
      </c>
      <c r="Q13" s="3">
        <f t="shared" si="4"/>
        <v>16.677856848766012</v>
      </c>
      <c r="R13" s="9">
        <f t="shared" si="5"/>
        <v>17.102639957057377</v>
      </c>
      <c r="S13">
        <f t="shared" si="6"/>
        <v>0.19233714000042107</v>
      </c>
    </row>
    <row r="14" spans="1:19" x14ac:dyDescent="0.3">
      <c r="A14" s="47">
        <v>10</v>
      </c>
      <c r="B14" s="48">
        <v>50</v>
      </c>
      <c r="C14" s="48">
        <v>200</v>
      </c>
      <c r="D14" s="48">
        <v>18591</v>
      </c>
      <c r="E14" s="48">
        <v>16557</v>
      </c>
      <c r="F14" s="48">
        <v>5756</v>
      </c>
      <c r="G14" s="41">
        <f t="shared" si="0"/>
        <v>1.560622658801424</v>
      </c>
      <c r="H14" s="41">
        <f t="shared" si="1"/>
        <v>0.88008352892447883</v>
      </c>
      <c r="I14" s="41">
        <f t="shared" si="2"/>
        <v>0.56392338537961451</v>
      </c>
      <c r="J14" s="12">
        <f t="shared" si="7"/>
        <v>0.31212453176028482</v>
      </c>
      <c r="K14" s="16">
        <f t="shared" si="8"/>
        <v>0.17601670578489578</v>
      </c>
      <c r="L14" s="17">
        <f t="shared" si="9"/>
        <v>0.11278467707592291</v>
      </c>
      <c r="M14" s="13">
        <f>SUM(J4:J14)</f>
        <v>4.1987960402635665</v>
      </c>
      <c r="N14" s="13">
        <f t="shared" ref="N14:O14" si="17">SUM(K4:K14)</f>
        <v>2.0065782735054531</v>
      </c>
      <c r="O14" s="14">
        <f t="shared" si="17"/>
        <v>0.99271550286652488</v>
      </c>
      <c r="P14" s="9">
        <f t="shared" si="3"/>
        <v>23.096958249978364</v>
      </c>
      <c r="Q14" s="3">
        <f t="shared" si="4"/>
        <v>18.281507593890794</v>
      </c>
      <c r="R14" s="9">
        <f t="shared" si="5"/>
        <v>19.294761960476674</v>
      </c>
      <c r="S14">
        <f t="shared" si="6"/>
        <v>0.20985684596605086</v>
      </c>
    </row>
    <row r="15" spans="1:19" x14ac:dyDescent="0.3">
      <c r="A15">
        <v>11</v>
      </c>
      <c r="B15">
        <v>60</v>
      </c>
      <c r="C15">
        <v>400</v>
      </c>
      <c r="D15">
        <v>2134</v>
      </c>
      <c r="E15" s="54">
        <v>8133</v>
      </c>
      <c r="F15" s="54">
        <v>3974</v>
      </c>
      <c r="G15" s="3">
        <f>'Sample 1'!D15*$B$25/$B$26</f>
        <v>0.85511826888594566</v>
      </c>
      <c r="H15" s="9">
        <f>'Sample 1'!E15*$C$25/$C$26</f>
        <v>0.63313819964321405</v>
      </c>
      <c r="I15" s="9">
        <f>'Sample 1'!F15*$D$25/$D$26</f>
        <v>0.1836247671844364</v>
      </c>
      <c r="J15" s="13">
        <f>G15*C15/1000</f>
        <v>0.34204730755437829</v>
      </c>
      <c r="K15" s="13">
        <f>H15*C15/1000</f>
        <v>0.25325527985728563</v>
      </c>
      <c r="L15" s="13">
        <f>I15*C15/1000</f>
        <v>7.3449906873774562E-2</v>
      </c>
      <c r="M15" s="44">
        <f>SUM(J4:J15)</f>
        <v>4.5408433478179449</v>
      </c>
      <c r="N15" s="45">
        <f t="shared" ref="N15:O15" si="18">SUM(K4:K15)</f>
        <v>2.2598335533627387</v>
      </c>
      <c r="O15" s="46">
        <f t="shared" si="18"/>
        <v>1.0661654097402995</v>
      </c>
      <c r="P15" s="9">
        <f t="shared" si="3"/>
        <v>24.978510082061419</v>
      </c>
      <c r="Q15" s="3">
        <f t="shared" si="4"/>
        <v>20.588862548858771</v>
      </c>
      <c r="R15" s="9">
        <f t="shared" si="5"/>
        <v>20.72235976171622</v>
      </c>
      <c r="S15">
        <f t="shared" si="6"/>
        <v>0.22935400323384791</v>
      </c>
    </row>
    <row r="16" spans="1:19" x14ac:dyDescent="0.3">
      <c r="A16">
        <v>12</v>
      </c>
      <c r="B16">
        <v>70</v>
      </c>
      <c r="C16">
        <v>400</v>
      </c>
      <c r="D16">
        <v>3480</v>
      </c>
      <c r="E16" s="54">
        <v>5670</v>
      </c>
      <c r="F16" s="54">
        <v>2553</v>
      </c>
      <c r="G16" s="3">
        <f>'Sample 1'!D16*$B$25/$B$26</f>
        <v>1.1572405877487006</v>
      </c>
      <c r="H16" s="9">
        <f>'Sample 1'!E16*$C$25/$C$26</f>
        <v>0.67015082317121022</v>
      </c>
      <c r="I16" s="9">
        <f>'Sample 1'!F16*$D$25/$D$26</f>
        <v>0.22043197135690465</v>
      </c>
      <c r="J16" s="13">
        <f t="shared" ref="J16:J19" si="19">G16*C16/1000</f>
        <v>0.46289623509948025</v>
      </c>
      <c r="K16" s="13">
        <f t="shared" ref="K16:K19" si="20">H16*C16/1000</f>
        <v>0.26806032926848411</v>
      </c>
      <c r="L16" s="13">
        <f t="shared" ref="L16:L19" si="21">I16*C16/1000</f>
        <v>8.8172788542761865E-2</v>
      </c>
      <c r="M16" s="12">
        <f>SUM(J5:J17)</f>
        <v>5.3854669405824964</v>
      </c>
      <c r="N16" s="13">
        <f t="shared" ref="N16:O16" si="22">SUM(K5:K17)</f>
        <v>2.7798412959327488</v>
      </c>
      <c r="O16" s="14">
        <f t="shared" si="22"/>
        <v>1.257357244598182</v>
      </c>
      <c r="P16" s="9">
        <f t="shared" si="3"/>
        <v>29.624659995503034</v>
      </c>
      <c r="Q16" s="3">
        <f t="shared" si="4"/>
        <v>25.326542419212362</v>
      </c>
      <c r="R16" s="9">
        <f t="shared" si="5"/>
        <v>24.438430410071568</v>
      </c>
      <c r="S16">
        <f t="shared" si="6"/>
        <v>0.27471327933275297</v>
      </c>
    </row>
    <row r="17" spans="1:19" x14ac:dyDescent="0.3">
      <c r="A17">
        <v>13</v>
      </c>
      <c r="B17">
        <v>80</v>
      </c>
      <c r="C17">
        <v>400</v>
      </c>
      <c r="D17">
        <v>6226</v>
      </c>
      <c r="E17" s="54">
        <v>10574</v>
      </c>
      <c r="F17" s="54">
        <v>4948</v>
      </c>
      <c r="G17" s="3">
        <f>'Sample 1'!D17*$B$25/$B$26</f>
        <v>0.95431839416267816</v>
      </c>
      <c r="H17" s="9">
        <f>'Sample 1'!E17*$C$25/$C$26</f>
        <v>0.62986853325381509</v>
      </c>
      <c r="I17" s="9">
        <f>'Sample 1'!F17*$D$25/$D$26</f>
        <v>0.25754761578780139</v>
      </c>
      <c r="J17" s="13">
        <f t="shared" si="19"/>
        <v>0.38172735766507127</v>
      </c>
      <c r="K17" s="13">
        <f t="shared" si="20"/>
        <v>0.25194741330152604</v>
      </c>
      <c r="L17" s="13">
        <f t="shared" si="21"/>
        <v>0.10301904631512056</v>
      </c>
      <c r="M17" s="12">
        <f>SUM(J5:J17)</f>
        <v>5.3854669405824964</v>
      </c>
      <c r="N17" s="13">
        <f t="shared" ref="N17:O17" si="23">SUM(K5:K17)</f>
        <v>2.7798412959327488</v>
      </c>
      <c r="O17" s="14">
        <f t="shared" si="23"/>
        <v>1.257357244598182</v>
      </c>
      <c r="P17" s="9">
        <f t="shared" si="3"/>
        <v>29.624659995503034</v>
      </c>
      <c r="Q17" s="3">
        <f t="shared" si="4"/>
        <v>25.326542419212362</v>
      </c>
      <c r="R17" s="9">
        <f t="shared" si="5"/>
        <v>24.438430410071568</v>
      </c>
      <c r="S17">
        <f t="shared" si="6"/>
        <v>0.27471327933275297</v>
      </c>
    </row>
    <row r="18" spans="1:19" x14ac:dyDescent="0.3">
      <c r="A18">
        <v>14</v>
      </c>
      <c r="B18">
        <v>90</v>
      </c>
      <c r="C18">
        <v>400</v>
      </c>
      <c r="D18">
        <v>7331</v>
      </c>
      <c r="E18" s="54">
        <v>5946</v>
      </c>
      <c r="F18" s="54">
        <v>3122</v>
      </c>
      <c r="G18" s="3">
        <f>'Sample 1'!D18*$B$25/$B$26</f>
        <v>0.77428853717897839</v>
      </c>
      <c r="H18" s="9">
        <f>'Sample 1'!E18*$C$25/$C$26</f>
        <v>0.54609968035741374</v>
      </c>
      <c r="I18" s="9">
        <f>'Sample 1'!F18*$D$25/$D$26</f>
        <v>0.22032915793742847</v>
      </c>
      <c r="J18" s="13">
        <f t="shared" si="19"/>
        <v>0.30971541487159138</v>
      </c>
      <c r="K18" s="13">
        <f t="shared" si="20"/>
        <v>0.21843987214296551</v>
      </c>
      <c r="L18" s="13">
        <f t="shared" si="21"/>
        <v>8.8131663174971384E-2</v>
      </c>
      <c r="M18" s="12">
        <f>SUM(J5:J18)</f>
        <v>5.6951823554540875</v>
      </c>
      <c r="N18" s="13">
        <f t="shared" ref="N18:O18" si="24">SUM(K5:K18)</f>
        <v>2.9982811680757142</v>
      </c>
      <c r="O18" s="14">
        <f t="shared" si="24"/>
        <v>1.3454889077731533</v>
      </c>
      <c r="P18" s="9">
        <f t="shared" si="3"/>
        <v>31.328358850619331</v>
      </c>
      <c r="Q18" s="3">
        <f t="shared" si="4"/>
        <v>27.31670160418836</v>
      </c>
      <c r="R18" s="9">
        <f t="shared" si="5"/>
        <v>26.151387906183739</v>
      </c>
      <c r="S18">
        <f t="shared" si="6"/>
        <v>0.29268082890096087</v>
      </c>
    </row>
    <row r="19" spans="1:19" x14ac:dyDescent="0.3">
      <c r="A19">
        <v>15</v>
      </c>
      <c r="B19">
        <v>100</v>
      </c>
      <c r="C19">
        <v>395</v>
      </c>
      <c r="D19">
        <v>10617</v>
      </c>
      <c r="E19" s="54">
        <v>8139</v>
      </c>
      <c r="F19" s="54">
        <v>3203</v>
      </c>
      <c r="G19" s="3">
        <f>'Sample 1'!D19*$B$25/$B$26</f>
        <v>1.1397180584975399</v>
      </c>
      <c r="H19" s="9">
        <f>'Sample 1'!E19*$C$25/$C$26</f>
        <v>0.6815292622063186</v>
      </c>
      <c r="I19" s="9">
        <f>'Sample 1'!F19*$D$25/$D$26</f>
        <v>0.3647820123014448</v>
      </c>
      <c r="J19" s="13">
        <f t="shared" si="19"/>
        <v>0.45018863310652829</v>
      </c>
      <c r="K19" s="13">
        <f t="shared" si="20"/>
        <v>0.26920405857149587</v>
      </c>
      <c r="L19" s="13">
        <f t="shared" si="21"/>
        <v>0.1440888948590707</v>
      </c>
      <c r="M19" s="15">
        <f>SUM(J4:J19)</f>
        <v>6.1453709885606154</v>
      </c>
      <c r="N19" s="16">
        <f t="shared" ref="N19:O19" si="25">SUM(K4:K19)</f>
        <v>3.2674852266472101</v>
      </c>
      <c r="O19" s="17">
        <f t="shared" si="25"/>
        <v>1.4895778026322239</v>
      </c>
      <c r="P19" s="9">
        <f t="shared" si="3"/>
        <v>33.804780178010979</v>
      </c>
      <c r="Q19" s="3">
        <f t="shared" si="4"/>
        <v>29.769362487675021</v>
      </c>
      <c r="R19" s="9">
        <f t="shared" si="5"/>
        <v>28.951949516661301</v>
      </c>
      <c r="S19">
        <f t="shared" si="6"/>
        <v>0.31785521917901022</v>
      </c>
    </row>
    <row r="22" spans="1:19" x14ac:dyDescent="0.3">
      <c r="A22" s="21" t="s">
        <v>16</v>
      </c>
      <c r="B22" t="s">
        <v>12</v>
      </c>
      <c r="C22" t="s">
        <v>13</v>
      </c>
      <c r="D22" t="s">
        <v>14</v>
      </c>
      <c r="F22" s="21" t="s">
        <v>25</v>
      </c>
      <c r="G22" s="21"/>
    </row>
    <row r="23" spans="1:19" x14ac:dyDescent="0.3">
      <c r="A23" t="s">
        <v>17</v>
      </c>
      <c r="B23" s="4">
        <v>39.404400000000003</v>
      </c>
      <c r="C23" s="4">
        <v>40.04</v>
      </c>
      <c r="D23" s="5">
        <v>39.799999999999997</v>
      </c>
      <c r="F23" t="s">
        <v>26</v>
      </c>
      <c r="G23" s="1">
        <v>34.299999999999997</v>
      </c>
      <c r="J23" t="s">
        <v>11</v>
      </c>
    </row>
    <row r="24" spans="1:19" x14ac:dyDescent="0.3">
      <c r="A24" t="s">
        <v>18</v>
      </c>
      <c r="B24" s="5">
        <v>469407</v>
      </c>
      <c r="C24" s="5">
        <v>753272</v>
      </c>
      <c r="D24" s="5">
        <v>406241</v>
      </c>
      <c r="G24" t="s">
        <v>12</v>
      </c>
      <c r="H24" t="s">
        <v>13</v>
      </c>
      <c r="I24" t="s">
        <v>14</v>
      </c>
    </row>
    <row r="25" spans="1:19" x14ac:dyDescent="0.3">
      <c r="A25" t="s">
        <v>47</v>
      </c>
      <c r="B25">
        <v>39.404400000000003</v>
      </c>
      <c r="C25">
        <v>25</v>
      </c>
      <c r="D25">
        <v>39.799999999999997</v>
      </c>
      <c r="F25" t="s">
        <v>24</v>
      </c>
      <c r="G25">
        <v>53</v>
      </c>
      <c r="H25">
        <v>32</v>
      </c>
      <c r="I25">
        <v>15</v>
      </c>
      <c r="J25" s="3">
        <f>SUM(G25:I25)</f>
        <v>100</v>
      </c>
    </row>
    <row r="26" spans="1:19" x14ac:dyDescent="0.3">
      <c r="A26" t="s">
        <v>18</v>
      </c>
      <c r="B26">
        <v>418274</v>
      </c>
      <c r="C26">
        <v>382302</v>
      </c>
      <c r="D26">
        <v>387109</v>
      </c>
      <c r="F26" t="s">
        <v>28</v>
      </c>
      <c r="G26" s="3">
        <f>G23*G25/100</f>
        <v>18.178999999999998</v>
      </c>
      <c r="H26" s="3">
        <f>G23*H25/100</f>
        <v>10.975999999999999</v>
      </c>
      <c r="I26" s="3">
        <f>G23*I25/100</f>
        <v>5.1449999999999996</v>
      </c>
      <c r="J26" s="3">
        <f>SUM(G26:I26)</f>
        <v>34.299999999999997</v>
      </c>
    </row>
    <row r="27" spans="1:19" x14ac:dyDescent="0.3">
      <c r="A27" t="s">
        <v>19</v>
      </c>
      <c r="B27">
        <v>1.109</v>
      </c>
      <c r="C27">
        <v>4.9669999999999996</v>
      </c>
      <c r="D27">
        <v>3.161</v>
      </c>
      <c r="F27" t="s">
        <v>56</v>
      </c>
    </row>
    <row r="28" spans="1:19" x14ac:dyDescent="0.3">
      <c r="A28" t="s">
        <v>20</v>
      </c>
      <c r="B28">
        <v>315</v>
      </c>
      <c r="C28">
        <v>296</v>
      </c>
      <c r="D28">
        <v>235</v>
      </c>
      <c r="F28" t="s">
        <v>27</v>
      </c>
      <c r="G28" s="3">
        <f>M14</f>
        <v>4.1987960402635665</v>
      </c>
      <c r="H28" s="3">
        <f t="shared" ref="H28:I28" si="26">N14</f>
        <v>2.0065782735054531</v>
      </c>
      <c r="I28" s="3">
        <f t="shared" si="26"/>
        <v>0.99271550286652488</v>
      </c>
      <c r="J28" s="3">
        <f>SUM(G28:I28)</f>
        <v>7.1980898166355445</v>
      </c>
    </row>
    <row r="29" spans="1:19" x14ac:dyDescent="0.3">
      <c r="F29" t="s">
        <v>29</v>
      </c>
      <c r="G29" s="3">
        <f>G26-G28</f>
        <v>13.980203959736432</v>
      </c>
      <c r="H29" s="3">
        <f>H26-H28</f>
        <v>8.9694217264945451</v>
      </c>
      <c r="I29" s="3">
        <f>I26-I28</f>
        <v>4.1522844971334747</v>
      </c>
      <c r="J29" s="59">
        <f>SUM(G29:I29)</f>
        <v>27.101910183364453</v>
      </c>
    </row>
    <row r="30" spans="1:19" ht="15" thickBot="1" x14ac:dyDescent="0.35">
      <c r="B30" t="s">
        <v>81</v>
      </c>
      <c r="F30" t="s">
        <v>30</v>
      </c>
      <c r="G30" s="22">
        <f>G28*100/G26</f>
        <v>23.096958249978364</v>
      </c>
      <c r="H30" s="22">
        <f>H28*100/H26</f>
        <v>18.281507593890794</v>
      </c>
      <c r="I30" s="22">
        <f>I28*100/I26</f>
        <v>19.294761960476674</v>
      </c>
      <c r="J30" s="22">
        <f>J28*100/J26</f>
        <v>20.98568459660509</v>
      </c>
    </row>
    <row r="31" spans="1:19" ht="15" thickBot="1" x14ac:dyDescent="0.35">
      <c r="A31" s="60" t="s">
        <v>34</v>
      </c>
      <c r="B31" s="69" t="s">
        <v>55</v>
      </c>
      <c r="C31" s="69" t="s">
        <v>52</v>
      </c>
      <c r="D31" s="70" t="s">
        <v>53</v>
      </c>
      <c r="F31" t="s">
        <v>31</v>
      </c>
      <c r="G31" s="22">
        <f>G29*100/G26</f>
        <v>76.903041750021629</v>
      </c>
      <c r="H31" s="22">
        <f>H29*100/H26</f>
        <v>81.718492406109206</v>
      </c>
      <c r="I31" s="22">
        <f>I29*100/I26</f>
        <v>80.705238039523323</v>
      </c>
      <c r="J31" s="22">
        <f>J29*100/J26</f>
        <v>79.014315403394917</v>
      </c>
    </row>
    <row r="32" spans="1:19" x14ac:dyDescent="0.3">
      <c r="A32" s="64" t="s">
        <v>12</v>
      </c>
      <c r="B32" s="60">
        <f>SLOPE(M4:M7,B4:B7)</f>
        <v>0.13596125799783987</v>
      </c>
      <c r="C32" s="71">
        <f>SLOPE(M6:M13,B6:B13)</f>
        <v>6.4206836777167778E-2</v>
      </c>
      <c r="D32" s="70">
        <f>SLOPE(M14:M19,B14:B19)</f>
        <v>3.7702547898267637E-2</v>
      </c>
      <c r="F32" t="s">
        <v>32</v>
      </c>
      <c r="J32" s="58">
        <v>28.3</v>
      </c>
    </row>
    <row r="33" spans="1:10" x14ac:dyDescent="0.3">
      <c r="A33" s="64" t="s">
        <v>13</v>
      </c>
      <c r="B33" s="64">
        <f>SLOPE(N4:N14,B4:B14)</f>
        <v>3.9741465704818436E-2</v>
      </c>
      <c r="C33" s="30"/>
      <c r="D33" s="72">
        <f>SLOPE(N14:N19,B14:B19)</f>
        <v>2.4342507456707747E-2</v>
      </c>
      <c r="F33" t="s">
        <v>57</v>
      </c>
    </row>
    <row r="34" spans="1:10" x14ac:dyDescent="0.3">
      <c r="A34" s="64" t="s">
        <v>14</v>
      </c>
      <c r="B34" s="64">
        <f>SLOPE(O4:O14,B4:B14)</f>
        <v>1.9052190585480938E-2</v>
      </c>
      <c r="C34" s="30"/>
      <c r="D34" s="72">
        <f>SLOPE(O14:O19,B14:B19)</f>
        <v>9.4922342655058747E-3</v>
      </c>
      <c r="F34" t="s">
        <v>27</v>
      </c>
      <c r="G34" s="9">
        <f>M19</f>
        <v>6.1453709885606154</v>
      </c>
      <c r="H34" s="9">
        <f t="shared" ref="H34:I34" si="27">N19</f>
        <v>3.2674852266472101</v>
      </c>
      <c r="I34" s="9">
        <f t="shared" si="27"/>
        <v>1.4895778026322239</v>
      </c>
      <c r="J34" s="9">
        <f>SUM(G34:I34)</f>
        <v>10.902434017840049</v>
      </c>
    </row>
    <row r="35" spans="1:10" x14ac:dyDescent="0.3">
      <c r="A35" s="103"/>
      <c r="B35" s="104"/>
      <c r="C35" s="104" t="s">
        <v>24</v>
      </c>
      <c r="D35" s="105"/>
      <c r="F35" t="s">
        <v>29</v>
      </c>
      <c r="G35" s="24">
        <f>G26-G34</f>
        <v>12.033629011439384</v>
      </c>
      <c r="H35" s="24">
        <f>H26-H34</f>
        <v>7.708514773352789</v>
      </c>
      <c r="I35" s="24">
        <f t="shared" ref="I35" si="28">I26-I34</f>
        <v>3.6554221973677756</v>
      </c>
      <c r="J35" s="57">
        <f>SUM(G35:I35)</f>
        <v>23.39756598215995</v>
      </c>
    </row>
    <row r="36" spans="1:10" x14ac:dyDescent="0.3">
      <c r="A36" s="106" t="s">
        <v>12</v>
      </c>
      <c r="B36" s="107">
        <f>SLOPE(P4:P7,B4:B7)</f>
        <v>0.74790284392892814</v>
      </c>
      <c r="C36" s="107">
        <f>SLOPE(Q7:Q14,B7:B14)</f>
        <v>0.3402291790860838</v>
      </c>
      <c r="D36" s="108">
        <f>SLOPE(M14:M19,B14:B19)</f>
        <v>3.7702547898267637E-2</v>
      </c>
      <c r="F36" t="s">
        <v>30</v>
      </c>
      <c r="G36" s="3">
        <f>G34*100/G26</f>
        <v>33.804780178010979</v>
      </c>
      <c r="H36" s="3">
        <f t="shared" ref="H36:I36" si="29">H34*100/H26</f>
        <v>29.769362487675021</v>
      </c>
      <c r="I36" s="3">
        <f t="shared" si="29"/>
        <v>28.951949516661301</v>
      </c>
      <c r="J36" s="39">
        <f>J34*100/J26</f>
        <v>31.785521917901018</v>
      </c>
    </row>
    <row r="37" spans="1:10" x14ac:dyDescent="0.3">
      <c r="A37" s="106" t="s">
        <v>13</v>
      </c>
      <c r="B37" s="107">
        <f>SLOPE(Q4:Q14,B4:B14)</f>
        <v>0.36207603594040128</v>
      </c>
      <c r="C37" s="107"/>
      <c r="D37" s="108">
        <f>SLOPE(N14:N19,B14:B19)</f>
        <v>2.4342507456707747E-2</v>
      </c>
      <c r="F37" t="s">
        <v>31</v>
      </c>
      <c r="G37" s="3">
        <f>G35*100/G26</f>
        <v>66.195219821989028</v>
      </c>
      <c r="H37" s="3">
        <f t="shared" ref="H37:I37" si="30">H35*100/H26</f>
        <v>70.230637512324975</v>
      </c>
      <c r="I37" s="3">
        <f t="shared" si="30"/>
        <v>71.048050483338699</v>
      </c>
      <c r="J37" s="39">
        <f>J35*100/J26</f>
        <v>68.214478082098978</v>
      </c>
    </row>
    <row r="38" spans="1:10" x14ac:dyDescent="0.3">
      <c r="A38" s="109" t="s">
        <v>14</v>
      </c>
      <c r="B38" s="110">
        <f>SLOPE(Q4:Q14,B4:B14)</f>
        <v>0.36207603594040128</v>
      </c>
      <c r="C38" s="110"/>
      <c r="D38" s="111">
        <f>SLOPE(O14:O19,B14:B19)</f>
        <v>9.4922342655058747E-3</v>
      </c>
      <c r="F38" t="s">
        <v>32</v>
      </c>
      <c r="J38" s="57">
        <v>26</v>
      </c>
    </row>
  </sheetData>
  <mergeCells count="2">
    <mergeCell ref="G2:I2"/>
    <mergeCell ref="J2:L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9"/>
  <sheetViews>
    <sheetView zoomScale="70" zoomScaleNormal="70" workbookViewId="0">
      <selection activeCell="W28" sqref="W28"/>
    </sheetView>
  </sheetViews>
  <sheetFormatPr defaultRowHeight="14.4" x14ac:dyDescent="0.3"/>
  <cols>
    <col min="1" max="1" width="11.33203125" customWidth="1"/>
    <col min="2" max="2" width="8.109375" customWidth="1"/>
    <col min="8" max="8" width="9.5546875" customWidth="1"/>
    <col min="10" max="10" width="9.5546875" bestFit="1" customWidth="1"/>
    <col min="11" max="12" width="9" bestFit="1" customWidth="1"/>
  </cols>
  <sheetData>
    <row r="1" spans="1:19" ht="18" x14ac:dyDescent="0.35">
      <c r="A1" s="2" t="s">
        <v>5</v>
      </c>
      <c r="B1" s="2"/>
    </row>
    <row r="2" spans="1:19" x14ac:dyDescent="0.3">
      <c r="D2" s="18"/>
      <c r="E2" s="19" t="s">
        <v>15</v>
      </c>
      <c r="F2" s="20"/>
      <c r="G2" s="113" t="s">
        <v>17</v>
      </c>
      <c r="H2" s="114"/>
      <c r="I2" s="114"/>
      <c r="J2" s="113" t="s">
        <v>22</v>
      </c>
      <c r="K2" s="114"/>
      <c r="L2" s="115"/>
      <c r="M2" t="s">
        <v>23</v>
      </c>
      <c r="P2" s="119" t="s">
        <v>77</v>
      </c>
      <c r="Q2" s="120"/>
      <c r="R2" s="121"/>
      <c r="S2" t="s">
        <v>80</v>
      </c>
    </row>
    <row r="3" spans="1:19" x14ac:dyDescent="0.3">
      <c r="A3" t="s">
        <v>6</v>
      </c>
      <c r="B3" t="s">
        <v>19</v>
      </c>
      <c r="C3" t="s">
        <v>7</v>
      </c>
      <c r="D3" s="6" t="s">
        <v>12</v>
      </c>
      <c r="E3" s="7" t="s">
        <v>13</v>
      </c>
      <c r="F3" s="7" t="s">
        <v>14</v>
      </c>
      <c r="G3" s="7" t="s">
        <v>12</v>
      </c>
      <c r="H3" s="7" t="s">
        <v>13</v>
      </c>
      <c r="I3" s="7" t="s">
        <v>14</v>
      </c>
      <c r="J3" s="18" t="s">
        <v>12</v>
      </c>
      <c r="K3" s="19" t="s">
        <v>13</v>
      </c>
      <c r="L3" s="20" t="s">
        <v>14</v>
      </c>
      <c r="M3" s="6" t="s">
        <v>12</v>
      </c>
      <c r="N3" s="7" t="s">
        <v>13</v>
      </c>
      <c r="O3" s="8" t="s">
        <v>14</v>
      </c>
      <c r="P3" s="6" t="s">
        <v>12</v>
      </c>
      <c r="Q3" s="7" t="s">
        <v>13</v>
      </c>
      <c r="R3" s="8" t="s">
        <v>14</v>
      </c>
      <c r="S3" s="54" t="s">
        <v>11</v>
      </c>
    </row>
    <row r="4" spans="1:19" x14ac:dyDescent="0.3">
      <c r="A4">
        <v>0</v>
      </c>
      <c r="B4">
        <v>0</v>
      </c>
      <c r="C4" t="s">
        <v>8</v>
      </c>
      <c r="D4" t="s">
        <v>21</v>
      </c>
      <c r="E4">
        <v>7266</v>
      </c>
      <c r="F4">
        <v>9763</v>
      </c>
      <c r="J4" s="18"/>
      <c r="K4" s="19"/>
      <c r="L4" s="20"/>
      <c r="M4">
        <v>0</v>
      </c>
      <c r="N4">
        <v>0</v>
      </c>
      <c r="O4">
        <v>0</v>
      </c>
      <c r="P4">
        <f>M4*100/$H$25</f>
        <v>0</v>
      </c>
      <c r="Q4">
        <f>N4*100/$I$25</f>
        <v>0</v>
      </c>
      <c r="R4">
        <f>O4*100/$J$25</f>
        <v>0</v>
      </c>
      <c r="S4">
        <f>(M4+N4+O4)/$H$22</f>
        <v>0</v>
      </c>
    </row>
    <row r="5" spans="1:19" x14ac:dyDescent="0.3">
      <c r="A5">
        <v>1</v>
      </c>
      <c r="B5">
        <v>5</v>
      </c>
      <c r="C5">
        <v>200</v>
      </c>
      <c r="D5">
        <v>90644</v>
      </c>
      <c r="E5">
        <v>23556</v>
      </c>
      <c r="F5">
        <v>5258</v>
      </c>
      <c r="G5" s="3">
        <f t="shared" ref="G5:G14" si="0">D5*$B$24/$B$25</f>
        <v>7.6091162543379198</v>
      </c>
      <c r="H5" s="3">
        <f t="shared" ref="H5:H14" si="1">E5*$C$24/$C$25</f>
        <v>1.2521137650144967</v>
      </c>
      <c r="I5" s="3">
        <f t="shared" ref="I5:I14" si="2">F5*$D$24/$D$25</f>
        <v>0.51513362757574932</v>
      </c>
      <c r="J5" s="12">
        <f>G5*'Sample 2'!C5/1000</f>
        <v>1.4913867858502321</v>
      </c>
      <c r="K5" s="13">
        <f>H5*'Sample 2'!C5/1000</f>
        <v>0.24541429794284136</v>
      </c>
      <c r="L5" s="14">
        <f>I5*'Sample 2'!C5/1000</f>
        <v>0.10096619100484686</v>
      </c>
      <c r="M5" s="9">
        <f>J5+J4</f>
        <v>1.4913867858502321</v>
      </c>
      <c r="N5" s="9">
        <f>K5+K4</f>
        <v>0.24541429794284136</v>
      </c>
      <c r="O5" s="9">
        <f>L5+L4</f>
        <v>0.10096619100484686</v>
      </c>
      <c r="P5">
        <f t="shared" ref="P5:P19" si="3">M5*100/$H$25</f>
        <v>4.3694679065106987</v>
      </c>
      <c r="Q5">
        <f t="shared" ref="Q5:Q19" si="4">N5*100/$I$25</f>
        <v>1.1908690699866138</v>
      </c>
      <c r="R5">
        <f t="shared" ref="R5:R19" si="5">O5*100/$J$25</f>
        <v>1.0451986646464475</v>
      </c>
      <c r="S5">
        <f t="shared" ref="S5:S19" si="6">(M5+N5+O5)/$H$22</f>
        <v>2.8536758925433545E-2</v>
      </c>
    </row>
    <row r="6" spans="1:19" x14ac:dyDescent="0.3">
      <c r="A6">
        <v>2</v>
      </c>
      <c r="B6">
        <v>10</v>
      </c>
      <c r="C6">
        <v>198</v>
      </c>
      <c r="D6">
        <v>74258</v>
      </c>
      <c r="E6">
        <v>25105</v>
      </c>
      <c r="F6">
        <v>7137</v>
      </c>
      <c r="G6" s="3">
        <f t="shared" si="0"/>
        <v>6.2335924585700688</v>
      </c>
      <c r="H6" s="3">
        <f t="shared" si="1"/>
        <v>1.3344505039348336</v>
      </c>
      <c r="I6" s="3">
        <f t="shared" si="2"/>
        <v>0.69922189045418848</v>
      </c>
      <c r="J6" s="12">
        <f>G6*'Sample 2'!C6/1000</f>
        <v>1.2280177143383035</v>
      </c>
      <c r="K6" s="13">
        <f>H6*'Sample 2'!C6/1000</f>
        <v>0.26288674927516226</v>
      </c>
      <c r="L6" s="14">
        <f>I6*'Sample 2'!C6/1000</f>
        <v>0.13774671241947514</v>
      </c>
      <c r="M6" s="9">
        <f>SUM(J5:J6)</f>
        <v>2.7194045001885359</v>
      </c>
      <c r="N6" s="9">
        <f>SUM(K5:K6)</f>
        <v>0.50830104721800362</v>
      </c>
      <c r="O6" s="9">
        <f>SUM(L5:L6)</f>
        <v>0.238712903424322</v>
      </c>
      <c r="P6">
        <f t="shared" si="3"/>
        <v>7.9673165949505904</v>
      </c>
      <c r="Q6">
        <f t="shared" si="4"/>
        <v>2.4665229387519583</v>
      </c>
      <c r="R6">
        <f t="shared" si="5"/>
        <v>2.4711480685747613</v>
      </c>
      <c r="S6">
        <f t="shared" si="6"/>
        <v>5.382637346010654E-2</v>
      </c>
    </row>
    <row r="7" spans="1:19" x14ac:dyDescent="0.3">
      <c r="A7">
        <v>3</v>
      </c>
      <c r="B7">
        <v>15</v>
      </c>
      <c r="C7">
        <v>198</v>
      </c>
      <c r="D7">
        <v>69890</v>
      </c>
      <c r="E7">
        <v>23415</v>
      </c>
      <c r="F7">
        <v>3981</v>
      </c>
      <c r="G7" s="3">
        <f t="shared" si="0"/>
        <v>5.8669204251321352</v>
      </c>
      <c r="H7" s="3">
        <f t="shared" si="1"/>
        <v>1.244618942427171</v>
      </c>
      <c r="I7" s="3">
        <f t="shared" si="2"/>
        <v>0.39002414822728376</v>
      </c>
      <c r="J7" s="12">
        <f>G7*'Sample 2'!C7/1000</f>
        <v>1.1499164033258984</v>
      </c>
      <c r="K7" s="13">
        <f>H7*'Sample 2'!C7/1000</f>
        <v>0.24394531271572553</v>
      </c>
      <c r="L7" s="14">
        <f>I7*'Sample 2'!C7/1000</f>
        <v>7.644473305254762E-2</v>
      </c>
      <c r="M7" s="9">
        <f>SUM(J5:J7)</f>
        <v>3.869320903514434</v>
      </c>
      <c r="N7" s="9">
        <f t="shared" ref="N7:O7" si="7">SUM(K5:K7)</f>
        <v>0.75224635993372913</v>
      </c>
      <c r="O7" s="9">
        <f t="shared" si="7"/>
        <v>0.31515763647686962</v>
      </c>
      <c r="P7">
        <f t="shared" si="3"/>
        <v>11.336343910448942</v>
      </c>
      <c r="Q7">
        <f t="shared" si="4"/>
        <v>3.6502637807343223</v>
      </c>
      <c r="R7">
        <f t="shared" si="5"/>
        <v>3.2625014128040326</v>
      </c>
      <c r="S7">
        <f t="shared" si="6"/>
        <v>7.6657218942935285E-2</v>
      </c>
    </row>
    <row r="8" spans="1:19" x14ac:dyDescent="0.3">
      <c r="A8">
        <v>4</v>
      </c>
      <c r="B8">
        <v>20</v>
      </c>
      <c r="C8">
        <v>202</v>
      </c>
      <c r="D8">
        <v>56225</v>
      </c>
      <c r="E8">
        <v>24927</v>
      </c>
      <c r="F8">
        <v>5708</v>
      </c>
      <c r="G8" s="3">
        <f t="shared" si="0"/>
        <v>4.7198111446995892</v>
      </c>
      <c r="H8" s="3">
        <f t="shared" si="1"/>
        <v>1.3249889548529614</v>
      </c>
      <c r="I8" s="3">
        <f t="shared" si="2"/>
        <v>0.5592207581214107</v>
      </c>
      <c r="J8" s="12">
        <f>G8*'Sample 2'!C8/1000</f>
        <v>0.92508298436111946</v>
      </c>
      <c r="K8" s="13">
        <f>H8*'Sample 2'!C8/1000</f>
        <v>0.25969783515118039</v>
      </c>
      <c r="L8" s="14">
        <f>I8*'Sample 2'!C8/1000</f>
        <v>0.10960726859179649</v>
      </c>
      <c r="M8" s="9">
        <f>SUM(J4:J8)</f>
        <v>4.7944038878755535</v>
      </c>
      <c r="N8" s="9">
        <f t="shared" ref="N8:O8" si="8">SUM(K4:K8)</f>
        <v>1.0119441950849095</v>
      </c>
      <c r="O8" s="9">
        <f t="shared" si="8"/>
        <v>0.4247649050686661</v>
      </c>
      <c r="P8">
        <f t="shared" si="3"/>
        <v>14.046653837675942</v>
      </c>
      <c r="Q8">
        <f t="shared" si="4"/>
        <v>4.9104434932303453</v>
      </c>
      <c r="R8">
        <f t="shared" si="5"/>
        <v>4.3971522263837066</v>
      </c>
      <c r="S8">
        <f t="shared" si="6"/>
        <v>9.6756412857595162E-2</v>
      </c>
    </row>
    <row r="9" spans="1:19" x14ac:dyDescent="0.3">
      <c r="A9">
        <v>5</v>
      </c>
      <c r="B9">
        <v>25</v>
      </c>
      <c r="C9">
        <v>200</v>
      </c>
      <c r="D9">
        <v>46674</v>
      </c>
      <c r="E9">
        <v>16081</v>
      </c>
      <c r="F9">
        <v>5304</v>
      </c>
      <c r="G9" s="3">
        <f t="shared" si="0"/>
        <v>3.9180518518045111</v>
      </c>
      <c r="H9" s="3">
        <f t="shared" si="1"/>
        <v>0.85478185834598919</v>
      </c>
      <c r="I9" s="3">
        <f t="shared" si="2"/>
        <v>0.51964031203152805</v>
      </c>
      <c r="J9" s="12">
        <f>G9*'Sample 2'!C9/1000</f>
        <v>0.76793816295368411</v>
      </c>
      <c r="K9" s="13">
        <f>H9*'Sample 2'!C9/1000</f>
        <v>0.1675372442358139</v>
      </c>
      <c r="L9" s="14">
        <f>I9*'Sample 2'!C9/1000</f>
        <v>0.10184950115817949</v>
      </c>
      <c r="M9" s="9">
        <f>SUM(J4:J9)</f>
        <v>5.5623420508292378</v>
      </c>
      <c r="N9" s="9">
        <f t="shared" ref="N9:O9" si="9">SUM(K4:K9)</f>
        <v>1.1794814393207234</v>
      </c>
      <c r="O9" s="9">
        <f t="shared" si="9"/>
        <v>0.52661440622684563</v>
      </c>
      <c r="P9">
        <f t="shared" si="3"/>
        <v>16.296560561435712</v>
      </c>
      <c r="Q9">
        <f t="shared" si="4"/>
        <v>5.7234153693746279</v>
      </c>
      <c r="R9">
        <f t="shared" si="5"/>
        <v>5.4514948884766623</v>
      </c>
      <c r="S9">
        <f t="shared" si="6"/>
        <v>0.11286394249032308</v>
      </c>
    </row>
    <row r="10" spans="1:19" x14ac:dyDescent="0.3">
      <c r="A10">
        <v>6</v>
      </c>
      <c r="B10">
        <v>30</v>
      </c>
      <c r="C10">
        <v>200</v>
      </c>
      <c r="D10">
        <v>40089</v>
      </c>
      <c r="E10">
        <v>22976</v>
      </c>
      <c r="F10">
        <v>6087</v>
      </c>
      <c r="G10" s="3">
        <f t="shared" si="0"/>
        <v>3.3652736145818021</v>
      </c>
      <c r="H10" s="3">
        <f t="shared" si="1"/>
        <v>1.221283998343228</v>
      </c>
      <c r="I10" s="3">
        <f t="shared" si="2"/>
        <v>0.59635191918097874</v>
      </c>
      <c r="J10" s="12">
        <f>G10*'Sample 2'!C10/1000</f>
        <v>0.66632417568719682</v>
      </c>
      <c r="K10" s="13">
        <f>H10*'Sample 2'!C10/1000</f>
        <v>0.24181423167195915</v>
      </c>
      <c r="L10" s="14">
        <f>I10*'Sample 2'!C10/1000</f>
        <v>0.11807767999783379</v>
      </c>
      <c r="M10" s="9">
        <f>SUM(J4:J10)</f>
        <v>6.2286662265164345</v>
      </c>
      <c r="N10" s="9">
        <f t="shared" ref="N10:O10" si="10">SUM(K4:K10)</f>
        <v>1.4212956709926825</v>
      </c>
      <c r="O10" s="9">
        <f t="shared" si="10"/>
        <v>0.64469208622467944</v>
      </c>
      <c r="P10">
        <f t="shared" si="3"/>
        <v>18.248758427623443</v>
      </c>
      <c r="Q10">
        <f t="shared" si="4"/>
        <v>6.8968151736834367</v>
      </c>
      <c r="R10">
        <f t="shared" si="5"/>
        <v>6.6738311203382956</v>
      </c>
      <c r="S10">
        <f t="shared" si="6"/>
        <v>0.1287989749026987</v>
      </c>
    </row>
    <row r="11" spans="1:19" x14ac:dyDescent="0.3">
      <c r="A11">
        <v>7</v>
      </c>
      <c r="B11">
        <v>35</v>
      </c>
      <c r="C11">
        <v>198</v>
      </c>
      <c r="D11">
        <v>41862</v>
      </c>
      <c r="E11">
        <v>23030</v>
      </c>
      <c r="F11">
        <v>6235</v>
      </c>
      <c r="G11" s="3">
        <f t="shared" si="0"/>
        <v>3.5141082105720622</v>
      </c>
      <c r="H11" s="3">
        <f t="shared" si="1"/>
        <v>1.2241543559298633</v>
      </c>
      <c r="I11" s="3">
        <f t="shared" si="2"/>
        <v>0.61085168656044064</v>
      </c>
      <c r="J11" s="12">
        <f>G11*'Sample 2'!C11/1000</f>
        <v>0.69227931748269622</v>
      </c>
      <c r="K11" s="13">
        <f>H11*'Sample 2'!C11/1000</f>
        <v>0.24115840811818307</v>
      </c>
      <c r="L11" s="14">
        <f>I11*'Sample 2'!C11/1000</f>
        <v>0.12033778225240681</v>
      </c>
      <c r="M11" s="9">
        <f>SUM(J4:J11)</f>
        <v>6.9209455439991308</v>
      </c>
      <c r="N11" s="9">
        <f t="shared" ref="N11:O11" si="11">SUM(K4:K11)</f>
        <v>1.6624540791108655</v>
      </c>
      <c r="O11" s="9">
        <f t="shared" si="11"/>
        <v>0.76502986847708621</v>
      </c>
      <c r="P11">
        <f t="shared" si="3"/>
        <v>20.276999718736462</v>
      </c>
      <c r="Q11">
        <f t="shared" si="4"/>
        <v>8.06703260438114</v>
      </c>
      <c r="R11">
        <f t="shared" si="5"/>
        <v>7.9195638558704564</v>
      </c>
      <c r="S11">
        <f t="shared" si="6"/>
        <v>0.14516194862712858</v>
      </c>
    </row>
    <row r="12" spans="1:19" x14ac:dyDescent="0.3">
      <c r="A12">
        <v>8</v>
      </c>
      <c r="B12">
        <v>40</v>
      </c>
      <c r="C12">
        <v>200</v>
      </c>
      <c r="D12">
        <v>33946</v>
      </c>
      <c r="E12">
        <v>21398</v>
      </c>
      <c r="F12">
        <v>4140</v>
      </c>
      <c r="G12" s="3">
        <f t="shared" si="0"/>
        <v>2.8495990950284082</v>
      </c>
      <c r="H12" s="3">
        <f t="shared" si="1"/>
        <v>1.1374057710893275</v>
      </c>
      <c r="I12" s="3">
        <f t="shared" si="2"/>
        <v>0.40560160102008413</v>
      </c>
      <c r="J12" s="12">
        <f>G12*'Sample 2'!C12/1000</f>
        <v>0.56422062081562474</v>
      </c>
      <c r="K12" s="13">
        <f>H12*'Sample 2'!C12/1000</f>
        <v>0.22520634267568684</v>
      </c>
      <c r="L12" s="14">
        <f>I12*'Sample 2'!C12/1000</f>
        <v>8.0309117001976654E-2</v>
      </c>
      <c r="M12" s="9">
        <f>SUM(J4:J12)</f>
        <v>7.4851661648147552</v>
      </c>
      <c r="N12" s="9">
        <f t="shared" ref="N12:O12" si="12">SUM(K4:K12)</f>
        <v>1.8876604217865522</v>
      </c>
      <c r="O12" s="9">
        <f t="shared" si="12"/>
        <v>0.84533898547906283</v>
      </c>
      <c r="P12">
        <f t="shared" si="3"/>
        <v>21.930054391230382</v>
      </c>
      <c r="Q12">
        <f t="shared" si="4"/>
        <v>9.1598428852220124</v>
      </c>
      <c r="R12">
        <f t="shared" si="5"/>
        <v>8.7509211747314986</v>
      </c>
      <c r="S12">
        <f t="shared" si="6"/>
        <v>0.15866716726832875</v>
      </c>
    </row>
    <row r="13" spans="1:19" x14ac:dyDescent="0.3">
      <c r="A13">
        <v>9</v>
      </c>
      <c r="B13">
        <v>45</v>
      </c>
      <c r="C13">
        <v>202</v>
      </c>
      <c r="D13">
        <v>17770</v>
      </c>
      <c r="E13">
        <v>18908</v>
      </c>
      <c r="F13">
        <v>5813</v>
      </c>
      <c r="G13" s="3">
        <f t="shared" si="0"/>
        <v>1.4917037624066112</v>
      </c>
      <c r="H13" s="3">
        <f t="shared" si="1"/>
        <v>1.0050503934833632</v>
      </c>
      <c r="I13" s="3">
        <f t="shared" si="2"/>
        <v>0.56950775524873165</v>
      </c>
      <c r="J13" s="12">
        <f>G13*'Sample 2'!C13/1000</f>
        <v>0.295357344956509</v>
      </c>
      <c r="K13" s="13">
        <f>H13*'Sample 2'!C13/1000</f>
        <v>0.19899997790970592</v>
      </c>
      <c r="L13" s="14">
        <f>I13*'Sample 2'!C13/1000</f>
        <v>0.11276253553924888</v>
      </c>
      <c r="M13" s="9">
        <f>SUM(J4:J13)</f>
        <v>7.7805235097712639</v>
      </c>
      <c r="N13" s="9">
        <f t="shared" ref="N13:O13" si="13">SUM(K4:K13)</f>
        <v>2.0866603996962581</v>
      </c>
      <c r="O13" s="9">
        <f t="shared" si="13"/>
        <v>0.9581015210183117</v>
      </c>
      <c r="P13">
        <f t="shared" si="3"/>
        <v>22.795392915068742</v>
      </c>
      <c r="Q13">
        <f t="shared" si="4"/>
        <v>10.12548718796709</v>
      </c>
      <c r="R13">
        <f t="shared" si="5"/>
        <v>9.9182352072288964</v>
      </c>
      <c r="S13">
        <f t="shared" si="6"/>
        <v>0.16809449426220238</v>
      </c>
    </row>
    <row r="14" spans="1:19" x14ac:dyDescent="0.3">
      <c r="A14">
        <v>10</v>
      </c>
      <c r="B14">
        <v>50</v>
      </c>
      <c r="C14">
        <v>202</v>
      </c>
      <c r="D14">
        <v>18591</v>
      </c>
      <c r="E14">
        <v>16559</v>
      </c>
      <c r="F14">
        <v>5756</v>
      </c>
      <c r="G14" s="3">
        <f t="shared" si="0"/>
        <v>1.560622658801424</v>
      </c>
      <c r="H14" s="3">
        <f t="shared" si="1"/>
        <v>0.88018983846472454</v>
      </c>
      <c r="I14" s="3">
        <f t="shared" si="2"/>
        <v>0.56392338537961451</v>
      </c>
      <c r="J14" s="12">
        <f>G14*'Sample 2'!C14/1000</f>
        <v>0.31212453176028482</v>
      </c>
      <c r="K14" s="13">
        <f>H14*'Sample 2'!C14/1000</f>
        <v>0.17603796769294491</v>
      </c>
      <c r="L14" s="14">
        <f>I14*'Sample 2'!C14/1000</f>
        <v>0.11278467707592291</v>
      </c>
      <c r="M14" s="9">
        <f>SUM(J4:J14)</f>
        <v>8.0926480415315485</v>
      </c>
      <c r="N14" s="9">
        <f t="shared" ref="N14:O14" si="14">SUM(K4:K14)</f>
        <v>2.2626983673892029</v>
      </c>
      <c r="O14" s="9">
        <f t="shared" si="14"/>
        <v>1.0708861980942346</v>
      </c>
      <c r="P14">
        <f t="shared" si="3"/>
        <v>23.709855975423494</v>
      </c>
      <c r="Q14">
        <f t="shared" si="4"/>
        <v>10.979708692688291</v>
      </c>
      <c r="R14">
        <f t="shared" si="5"/>
        <v>11.085778448180481</v>
      </c>
      <c r="S14">
        <f t="shared" si="6"/>
        <v>0.17742597215861777</v>
      </c>
    </row>
    <row r="15" spans="1:19" x14ac:dyDescent="0.3">
      <c r="A15">
        <v>11</v>
      </c>
      <c r="B15">
        <v>60</v>
      </c>
      <c r="C15">
        <v>390</v>
      </c>
      <c r="D15">
        <v>7662</v>
      </c>
      <c r="E15">
        <v>18649</v>
      </c>
      <c r="F15">
        <v>4147</v>
      </c>
      <c r="G15" s="3">
        <f>D15*$B$26/$B$27</f>
        <v>0.7218151565720079</v>
      </c>
      <c r="H15" s="3">
        <f>E15*$C$26/$C$27</f>
        <v>1.2195201699180229</v>
      </c>
      <c r="I15" s="3">
        <f>F15*$D$26/$D$27</f>
        <v>0.4263672505676695</v>
      </c>
      <c r="J15" s="12">
        <f>G15*'Sample 2'!C15/1000</f>
        <v>0.28872606262880318</v>
      </c>
      <c r="K15" s="13">
        <f>H15*'Sample 2'!C15/1000</f>
        <v>0.48780806796720916</v>
      </c>
      <c r="L15" s="14">
        <f>I15*'Sample 2'!C15/1000</f>
        <v>0.17054690022706778</v>
      </c>
      <c r="M15" s="9">
        <f>SUM(J4:J15)</f>
        <v>8.3813741041603524</v>
      </c>
      <c r="N15" s="9">
        <f t="shared" ref="N15:O15" si="15">SUM(K4:K15)</f>
        <v>2.7505064353564119</v>
      </c>
      <c r="O15" s="9">
        <f t="shared" si="15"/>
        <v>1.2414330983213024</v>
      </c>
      <c r="P15">
        <f t="shared" si="3"/>
        <v>24.555766155397723</v>
      </c>
      <c r="Q15">
        <f t="shared" si="4"/>
        <v>13.346789767839732</v>
      </c>
      <c r="R15">
        <f t="shared" si="5"/>
        <v>12.85127430974433</v>
      </c>
      <c r="S15">
        <f t="shared" si="6"/>
        <v>0.19213219934531156</v>
      </c>
    </row>
    <row r="16" spans="1:19" x14ac:dyDescent="0.3">
      <c r="A16">
        <v>12</v>
      </c>
      <c r="B16">
        <v>70</v>
      </c>
      <c r="C16">
        <v>400</v>
      </c>
      <c r="D16">
        <v>14839</v>
      </c>
      <c r="E16">
        <v>16923</v>
      </c>
      <c r="F16">
        <v>4998</v>
      </c>
      <c r="G16" s="3">
        <f t="shared" ref="G16:G19" si="16">D16*$B$26/$B$27</f>
        <v>1.3979398470858817</v>
      </c>
      <c r="H16" s="3">
        <f t="shared" ref="H16:H19" si="17">E16*$C$26/$C$27</f>
        <v>1.106651286155971</v>
      </c>
      <c r="I16" s="3">
        <f t="shared" ref="I16:I19" si="18">F16*$D$26/$D$27</f>
        <v>0.51386147054188869</v>
      </c>
      <c r="J16" s="12">
        <f>G16*'Sample 2'!C16/1000</f>
        <v>0.55917593883435268</v>
      </c>
      <c r="K16" s="13">
        <f>H16*'Sample 2'!C16/1000</f>
        <v>0.44266051446238841</v>
      </c>
      <c r="L16" s="14">
        <f>I16*'Sample 2'!C16/1000</f>
        <v>0.20554458821675547</v>
      </c>
      <c r="M16" s="9">
        <f>SUM(J4:J16)</f>
        <v>8.9405500429947047</v>
      </c>
      <c r="N16" s="9">
        <f t="shared" ref="N16:O16" si="19">SUM(K4:K16)</f>
        <v>3.1931669498188002</v>
      </c>
      <c r="O16" s="9">
        <f t="shared" si="19"/>
        <v>1.4469776865380579</v>
      </c>
      <c r="P16">
        <f t="shared" si="3"/>
        <v>26.194040908809047</v>
      </c>
      <c r="Q16">
        <f t="shared" si="4"/>
        <v>15.494793040657997</v>
      </c>
      <c r="R16">
        <f t="shared" si="5"/>
        <v>14.979065078033722</v>
      </c>
      <c r="S16">
        <f t="shared" si="6"/>
        <v>0.21088035216384413</v>
      </c>
    </row>
    <row r="17" spans="1:19" x14ac:dyDescent="0.3">
      <c r="A17">
        <v>13</v>
      </c>
      <c r="B17">
        <v>80</v>
      </c>
      <c r="C17">
        <v>390</v>
      </c>
      <c r="D17">
        <v>33885</v>
      </c>
      <c r="E17">
        <v>23416</v>
      </c>
      <c r="F17">
        <v>6312</v>
      </c>
      <c r="G17" s="3">
        <f t="shared" si="16"/>
        <v>3.192209159546135</v>
      </c>
      <c r="H17" s="3">
        <f t="shared" si="17"/>
        <v>1.5312501634833195</v>
      </c>
      <c r="I17" s="3">
        <f t="shared" si="18"/>
        <v>0.64895830373357366</v>
      </c>
      <c r="J17" s="12">
        <f>G17*'Sample 2'!C17/1000</f>
        <v>1.2768836638184542</v>
      </c>
      <c r="K17" s="13">
        <f>H17*'Sample 2'!C17/1000</f>
        <v>0.61250006539332791</v>
      </c>
      <c r="L17" s="14">
        <f>I17*'Sample 2'!C17/1000</f>
        <v>0.2595833214934295</v>
      </c>
      <c r="M17" s="9">
        <f>SUM(J4:J17)</f>
        <v>10.217433706813159</v>
      </c>
      <c r="N17" s="9">
        <f t="shared" ref="N17:O17" si="20">SUM(K4:K17)</f>
        <v>3.8056670152121281</v>
      </c>
      <c r="O17" s="9">
        <f t="shared" si="20"/>
        <v>1.7065610080314875</v>
      </c>
      <c r="P17">
        <f t="shared" si="3"/>
        <v>29.935057151099137</v>
      </c>
      <c r="Q17">
        <f t="shared" si="4"/>
        <v>18.466940097108541</v>
      </c>
      <c r="R17">
        <f t="shared" si="5"/>
        <v>17.666263023100282</v>
      </c>
      <c r="S17">
        <f t="shared" si="6"/>
        <v>0.24424940574622317</v>
      </c>
    </row>
    <row r="18" spans="1:19" x14ac:dyDescent="0.3">
      <c r="A18">
        <v>14</v>
      </c>
      <c r="B18">
        <v>90</v>
      </c>
      <c r="C18">
        <v>400</v>
      </c>
      <c r="D18">
        <v>21367</v>
      </c>
      <c r="E18">
        <v>11917</v>
      </c>
      <c r="F18">
        <v>3667</v>
      </c>
      <c r="G18" s="3">
        <f t="shared" si="16"/>
        <v>2.0129240995137159</v>
      </c>
      <c r="H18" s="3">
        <f t="shared" si="17"/>
        <v>0.7792922872493474</v>
      </c>
      <c r="I18" s="3">
        <f t="shared" si="18"/>
        <v>0.37701680921910879</v>
      </c>
      <c r="J18" s="12">
        <f>G18*'Sample 2'!C18/1000</f>
        <v>0.80516963980548628</v>
      </c>
      <c r="K18" s="13">
        <f>H18*'Sample 2'!C18/1000</f>
        <v>0.31171691489973896</v>
      </c>
      <c r="L18" s="14">
        <f>I18*'Sample 2'!C18/1000</f>
        <v>0.1508067236876435</v>
      </c>
      <c r="M18" s="9">
        <f>SUM(J4:J18)</f>
        <v>11.022603346618645</v>
      </c>
      <c r="N18" s="9">
        <f t="shared" ref="N18:O18" si="21">SUM(K4:K18)</f>
        <v>4.1173839301118669</v>
      </c>
      <c r="O18" s="9">
        <f t="shared" si="21"/>
        <v>1.8573677317191311</v>
      </c>
      <c r="P18">
        <f t="shared" si="3"/>
        <v>32.294044728169006</v>
      </c>
      <c r="Q18">
        <f t="shared" si="4"/>
        <v>19.979541586334758</v>
      </c>
      <c r="R18">
        <f t="shared" si="5"/>
        <v>19.227409231046902</v>
      </c>
      <c r="S18">
        <f t="shared" si="6"/>
        <v>0.26393408398213725</v>
      </c>
    </row>
    <row r="19" spans="1:19" x14ac:dyDescent="0.3">
      <c r="A19">
        <v>15</v>
      </c>
      <c r="B19">
        <v>100</v>
      </c>
      <c r="C19">
        <v>400</v>
      </c>
      <c r="D19">
        <v>46369</v>
      </c>
      <c r="E19">
        <v>26672</v>
      </c>
      <c r="F19">
        <v>8233</v>
      </c>
      <c r="G19" s="3">
        <f t="shared" si="16"/>
        <v>4.3682911765971593</v>
      </c>
      <c r="H19" s="3">
        <f t="shared" si="17"/>
        <v>1.7441708387609796</v>
      </c>
      <c r="I19" s="3">
        <f t="shared" si="18"/>
        <v>0.84646288254729274</v>
      </c>
      <c r="J19" s="15">
        <f>G19*'Sample 2'!C19/1000</f>
        <v>1.7254750147558779</v>
      </c>
      <c r="K19" s="16">
        <f>H19*'Sample 2'!C19/1000</f>
        <v>0.68894748131058692</v>
      </c>
      <c r="L19" s="17">
        <f>I19*'Sample 2'!C19/1000</f>
        <v>0.33435283860618065</v>
      </c>
      <c r="M19" s="9">
        <f>SUM(J4:J19)</f>
        <v>12.748078361374523</v>
      </c>
      <c r="N19" s="9">
        <f t="shared" ref="N19:O19" si="22">SUM(K4:K19)</f>
        <v>4.8063314114224536</v>
      </c>
      <c r="O19" s="9">
        <f t="shared" si="22"/>
        <v>2.1917205703253115</v>
      </c>
      <c r="P19">
        <f t="shared" si="3"/>
        <v>37.34934478312001</v>
      </c>
      <c r="Q19">
        <f t="shared" si="4"/>
        <v>23.322648541452121</v>
      </c>
      <c r="R19">
        <f t="shared" si="5"/>
        <v>22.68861874042765</v>
      </c>
      <c r="S19">
        <f t="shared" si="6"/>
        <v>0.30661693079382435</v>
      </c>
    </row>
    <row r="21" spans="1:19" x14ac:dyDescent="0.3">
      <c r="A21" t="s">
        <v>11</v>
      </c>
      <c r="C21">
        <f>SUM(C5:C19)</f>
        <v>3980</v>
      </c>
      <c r="G21" s="21" t="s">
        <v>25</v>
      </c>
      <c r="H21" s="21"/>
    </row>
    <row r="22" spans="1:19" x14ac:dyDescent="0.3">
      <c r="G22" t="s">
        <v>26</v>
      </c>
      <c r="H22" s="1">
        <v>64.400000000000006</v>
      </c>
      <c r="K22" t="s">
        <v>11</v>
      </c>
    </row>
    <row r="23" spans="1:19" x14ac:dyDescent="0.3">
      <c r="A23" s="21" t="s">
        <v>16</v>
      </c>
      <c r="B23" t="s">
        <v>12</v>
      </c>
      <c r="C23" t="s">
        <v>13</v>
      </c>
      <c r="D23" t="s">
        <v>14</v>
      </c>
      <c r="H23" t="s">
        <v>12</v>
      </c>
      <c r="I23" t="s">
        <v>13</v>
      </c>
      <c r="J23" t="s">
        <v>14</v>
      </c>
    </row>
    <row r="24" spans="1:19" x14ac:dyDescent="0.3">
      <c r="A24" t="s">
        <v>17</v>
      </c>
      <c r="B24" s="4">
        <v>39.404400000000003</v>
      </c>
      <c r="C24" s="4">
        <v>40.04</v>
      </c>
      <c r="D24" s="5">
        <v>39.799999999999997</v>
      </c>
      <c r="G24" t="s">
        <v>24</v>
      </c>
      <c r="H24">
        <v>53</v>
      </c>
      <c r="I24">
        <v>32</v>
      </c>
      <c r="J24">
        <v>15</v>
      </c>
      <c r="K24" s="3">
        <f>SUM(H24:J24)</f>
        <v>100</v>
      </c>
    </row>
    <row r="25" spans="1:19" x14ac:dyDescent="0.3">
      <c r="A25" t="s">
        <v>18</v>
      </c>
      <c r="B25" s="5">
        <v>469407</v>
      </c>
      <c r="C25" s="5">
        <v>753272</v>
      </c>
      <c r="D25" s="5">
        <v>406241</v>
      </c>
      <c r="G25" t="s">
        <v>28</v>
      </c>
      <c r="H25" s="3">
        <f>H22*H24/100</f>
        <v>34.132000000000005</v>
      </c>
      <c r="I25" s="3">
        <f>H22*I24/100</f>
        <v>20.608000000000001</v>
      </c>
      <c r="J25" s="3">
        <f>H22*J24/100</f>
        <v>9.6600000000000019</v>
      </c>
      <c r="K25" s="3">
        <f>SUM(H25:J25)</f>
        <v>64.400000000000006</v>
      </c>
    </row>
    <row r="26" spans="1:19" x14ac:dyDescent="0.3">
      <c r="A26" t="s">
        <v>45</v>
      </c>
      <c r="B26" s="4">
        <v>39.404400000000003</v>
      </c>
      <c r="C26">
        <v>25</v>
      </c>
      <c r="D26" s="5">
        <v>39.799999999999997</v>
      </c>
      <c r="G26" t="s">
        <v>56</v>
      </c>
    </row>
    <row r="27" spans="1:19" x14ac:dyDescent="0.3">
      <c r="A27" t="s">
        <v>46</v>
      </c>
      <c r="B27">
        <v>418274</v>
      </c>
      <c r="C27">
        <v>382302</v>
      </c>
      <c r="D27">
        <v>387109</v>
      </c>
      <c r="G27" t="s">
        <v>27</v>
      </c>
      <c r="H27" s="3">
        <f>M14</f>
        <v>8.0926480415315485</v>
      </c>
      <c r="I27" s="3">
        <f t="shared" ref="I27:J27" si="23">N14</f>
        <v>2.2626983673892029</v>
      </c>
      <c r="J27" s="3">
        <f t="shared" si="23"/>
        <v>1.0708861980942346</v>
      </c>
      <c r="K27" s="3">
        <f>SUM(H27:J27)</f>
        <v>11.426232607014986</v>
      </c>
    </row>
    <row r="28" spans="1:19" x14ac:dyDescent="0.3">
      <c r="A28" t="s">
        <v>19</v>
      </c>
      <c r="B28">
        <v>1.109</v>
      </c>
      <c r="C28">
        <v>4.9669999999999996</v>
      </c>
      <c r="D28">
        <v>3.161</v>
      </c>
      <c r="G28" t="s">
        <v>29</v>
      </c>
      <c r="H28" s="3">
        <f>H25-H27</f>
        <v>26.039351958468458</v>
      </c>
      <c r="I28" s="3">
        <f>I25-I27</f>
        <v>18.345301632610798</v>
      </c>
      <c r="J28" s="3">
        <f>J25-J27</f>
        <v>8.5891138019057678</v>
      </c>
      <c r="K28" s="59">
        <f>SUM(H28:J28)</f>
        <v>52.973767392985025</v>
      </c>
    </row>
    <row r="29" spans="1:19" x14ac:dyDescent="0.3">
      <c r="A29" t="s">
        <v>20</v>
      </c>
      <c r="B29">
        <v>315</v>
      </c>
      <c r="C29">
        <v>296</v>
      </c>
      <c r="D29">
        <v>235</v>
      </c>
      <c r="G29" t="s">
        <v>30</v>
      </c>
      <c r="H29" s="22">
        <f>H27*100/H25</f>
        <v>23.709855975423494</v>
      </c>
      <c r="I29" s="22">
        <f>I27*100/I25</f>
        <v>10.979708692688291</v>
      </c>
      <c r="J29" s="22">
        <f>J27*100/J25</f>
        <v>11.085778448180481</v>
      </c>
      <c r="K29" s="22">
        <f>K27*100/K25</f>
        <v>17.742597215861778</v>
      </c>
    </row>
    <row r="30" spans="1:19" x14ac:dyDescent="0.3">
      <c r="G30" t="s">
        <v>31</v>
      </c>
      <c r="H30" s="22">
        <f>H28*100/H25</f>
        <v>76.29014402457652</v>
      </c>
      <c r="I30" s="22">
        <f>I28*100/I25</f>
        <v>89.020291307311723</v>
      </c>
      <c r="J30" s="22">
        <f>J28*100/J25</f>
        <v>88.914221551819523</v>
      </c>
      <c r="K30" s="22">
        <f>K28*100/K25</f>
        <v>82.257402784138236</v>
      </c>
    </row>
    <row r="31" spans="1:19" x14ac:dyDescent="0.3">
      <c r="G31" t="s">
        <v>32</v>
      </c>
      <c r="K31" s="58">
        <v>55.6</v>
      </c>
    </row>
    <row r="32" spans="1:19" x14ac:dyDescent="0.3">
      <c r="A32" s="26" t="s">
        <v>34</v>
      </c>
      <c r="B32" s="27"/>
      <c r="C32" s="28"/>
      <c r="G32" s="21" t="s">
        <v>57</v>
      </c>
    </row>
    <row r="33" spans="1:19" x14ac:dyDescent="0.3">
      <c r="A33" s="29" t="s">
        <v>12</v>
      </c>
      <c r="B33" s="30">
        <f>SLOPE(M4:M7,B4:B7)</f>
        <v>0.25671960849763215</v>
      </c>
      <c r="C33" s="31">
        <f>SLOPE(M7:M14,B7:B14)</f>
        <v>0.12132057079770857</v>
      </c>
      <c r="D33" s="31">
        <f>SLOPE(M14:M19,B14:B19)</f>
        <v>9.2793494258309142E-2</v>
      </c>
      <c r="G33" t="s">
        <v>27</v>
      </c>
      <c r="H33" s="9">
        <f>M19</f>
        <v>12.748078361374523</v>
      </c>
      <c r="I33" s="9">
        <f t="shared" ref="I33:J33" si="24">N19</f>
        <v>4.8063314114224536</v>
      </c>
      <c r="J33" s="9">
        <f t="shared" si="24"/>
        <v>2.1917205703253115</v>
      </c>
      <c r="K33" s="9">
        <f>SUM(H33:J33)</f>
        <v>19.746130343122289</v>
      </c>
    </row>
    <row r="34" spans="1:19" x14ac:dyDescent="0.3">
      <c r="A34" s="29" t="s">
        <v>13</v>
      </c>
      <c r="B34" s="30">
        <f>SLOPE(N4:N14,B4:B14)</f>
        <v>4.5538765967140682E-2</v>
      </c>
      <c r="C34" s="31"/>
      <c r="D34" s="31">
        <f>SLOPE(N14:N19,B14:B19)</f>
        <v>4.9803707913788423E-2</v>
      </c>
      <c r="G34" t="s">
        <v>29</v>
      </c>
      <c r="H34" s="9">
        <f>H25-H33</f>
        <v>21.38392163862548</v>
      </c>
      <c r="I34" s="9">
        <f t="shared" ref="I34" si="25">I25-I33</f>
        <v>15.801668588577547</v>
      </c>
      <c r="J34" s="9">
        <f>J25-J33</f>
        <v>7.4682794296746904</v>
      </c>
      <c r="K34" s="57">
        <f>SUM(H34:J34)</f>
        <v>44.653869656877717</v>
      </c>
      <c r="S34" t="s">
        <v>42</v>
      </c>
    </row>
    <row r="35" spans="1:19" x14ac:dyDescent="0.3">
      <c r="A35" s="32" t="s">
        <v>14</v>
      </c>
      <c r="B35" s="33">
        <f>SLOPE(O4:O14,B4:B14)</f>
        <v>2.1313676730628547E-2</v>
      </c>
      <c r="C35" s="34"/>
      <c r="D35" s="31">
        <f>SLOPE(O14:O19,B14:B19)</f>
        <v>2.2033025950977999E-2</v>
      </c>
      <c r="G35" t="s">
        <v>30</v>
      </c>
      <c r="H35" s="3">
        <f>H33*100/H25</f>
        <v>37.34934478312001</v>
      </c>
      <c r="I35" s="3">
        <f t="shared" ref="I35:J35" si="26">I33*100/I25</f>
        <v>23.322648541452121</v>
      </c>
      <c r="J35" s="3">
        <f t="shared" si="26"/>
        <v>22.68861874042765</v>
      </c>
      <c r="K35" s="3">
        <f>K33*100/K25</f>
        <v>30.661693079382431</v>
      </c>
    </row>
    <row r="36" spans="1:19" x14ac:dyDescent="0.3">
      <c r="A36" s="103"/>
      <c r="B36" s="104"/>
      <c r="C36" s="104" t="s">
        <v>24</v>
      </c>
      <c r="D36" s="105"/>
      <c r="G36" t="s">
        <v>31</v>
      </c>
      <c r="H36" s="3">
        <f>H34*100/H25</f>
        <v>62.650655216879983</v>
      </c>
      <c r="I36" s="3">
        <f t="shared" ref="I36:J36" si="27">I34*100/I25</f>
        <v>76.677351458547875</v>
      </c>
      <c r="J36" s="3">
        <f t="shared" si="27"/>
        <v>77.311381259572357</v>
      </c>
      <c r="K36" s="3">
        <f>K34*100/K25</f>
        <v>69.338306920617569</v>
      </c>
    </row>
    <row r="37" spans="1:19" x14ac:dyDescent="0.3">
      <c r="A37" s="106" t="s">
        <v>12</v>
      </c>
      <c r="B37" s="107">
        <f>SLOPE(P4:P7,B4:B7)</f>
        <v>0.75213760839573429</v>
      </c>
      <c r="C37" s="107">
        <f>SLOPE(Q7:Q14,B7:B14)</f>
        <v>0.21157341151333661</v>
      </c>
      <c r="D37" s="108">
        <f>SLOPE(M14:M19,B14:B19)</f>
        <v>9.2793494258309142E-2</v>
      </c>
      <c r="G37" t="s">
        <v>32</v>
      </c>
      <c r="K37" s="57">
        <v>46.4</v>
      </c>
    </row>
    <row r="38" spans="1:19" x14ac:dyDescent="0.3">
      <c r="A38" s="106" t="s">
        <v>13</v>
      </c>
      <c r="B38" s="107">
        <f>SLOPE(Q4:Q14,B4:B14)</f>
        <v>0.22097615473185503</v>
      </c>
      <c r="C38" s="107"/>
      <c r="D38" s="108">
        <f>SLOPE(N14:N19,B14:B19)</f>
        <v>4.9803707913788423E-2</v>
      </c>
    </row>
    <row r="39" spans="1:19" x14ac:dyDescent="0.3">
      <c r="A39" s="109" t="s">
        <v>14</v>
      </c>
      <c r="B39" s="110">
        <f>SLOPE(Q4:Q14,B4:B14)</f>
        <v>0.22097615473185503</v>
      </c>
      <c r="C39" s="110"/>
      <c r="D39" s="111">
        <f>SLOPE(O14:O19,B14:B19)</f>
        <v>2.2033025950977999E-2</v>
      </c>
    </row>
  </sheetData>
  <mergeCells count="3">
    <mergeCell ref="G2:I2"/>
    <mergeCell ref="J2:L2"/>
    <mergeCell ref="P2:R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31"/>
  <sheetViews>
    <sheetView topLeftCell="A4" zoomScaleNormal="100" workbookViewId="0">
      <selection activeCell="B9" sqref="B9:D9"/>
    </sheetView>
  </sheetViews>
  <sheetFormatPr defaultRowHeight="14.4" x14ac:dyDescent="0.3"/>
  <cols>
    <col min="1" max="1" width="12.33203125" customWidth="1"/>
  </cols>
  <sheetData>
    <row r="1" spans="1:8" x14ac:dyDescent="0.3">
      <c r="A1" s="38" t="s">
        <v>44</v>
      </c>
    </row>
    <row r="3" spans="1:8" x14ac:dyDescent="0.3">
      <c r="A3" s="21" t="s">
        <v>33</v>
      </c>
    </row>
    <row r="4" spans="1:8" x14ac:dyDescent="0.3">
      <c r="B4" t="s">
        <v>35</v>
      </c>
      <c r="C4" t="s">
        <v>36</v>
      </c>
      <c r="D4" t="s">
        <v>58</v>
      </c>
      <c r="E4" t="s">
        <v>13</v>
      </c>
      <c r="F4" t="s">
        <v>59</v>
      </c>
      <c r="G4" t="s">
        <v>14</v>
      </c>
      <c r="H4" t="s">
        <v>60</v>
      </c>
    </row>
    <row r="5" spans="1:8" x14ac:dyDescent="0.3">
      <c r="A5">
        <v>1</v>
      </c>
      <c r="B5" s="73">
        <v>0.39867709439888788</v>
      </c>
      <c r="C5" s="73">
        <v>0.12867284812783972</v>
      </c>
      <c r="D5" s="73">
        <v>3.9510646819835758E-2</v>
      </c>
      <c r="E5" s="73">
        <v>8.3828723436925962E-2</v>
      </c>
      <c r="F5" s="54">
        <v>2.5523096176022414E-2</v>
      </c>
      <c r="G5" s="73">
        <v>3.6518970988650007E-2</v>
      </c>
      <c r="H5" s="54">
        <v>9.9804658193354927E-3</v>
      </c>
    </row>
    <row r="6" spans="1:8" x14ac:dyDescent="0.3">
      <c r="A6">
        <v>2</v>
      </c>
      <c r="B6" s="73">
        <v>0.13596125799783987</v>
      </c>
      <c r="C6" s="73">
        <v>6.4206836777167778E-2</v>
      </c>
      <c r="D6" s="73">
        <v>3.7702547898267637E-2</v>
      </c>
      <c r="E6" s="73">
        <v>3.9741465704818436E-2</v>
      </c>
      <c r="F6" s="74">
        <v>2.4342507456707747E-2</v>
      </c>
      <c r="G6" s="73">
        <v>1.9052190585480938E-2</v>
      </c>
      <c r="H6" s="74">
        <v>9.4922342655058747E-3</v>
      </c>
    </row>
    <row r="7" spans="1:8" x14ac:dyDescent="0.3">
      <c r="A7">
        <v>3</v>
      </c>
      <c r="B7" s="73">
        <v>0.25671960849763215</v>
      </c>
      <c r="C7" s="73">
        <v>0.12132057079770857</v>
      </c>
      <c r="D7" s="73">
        <v>9.2793494258309142E-2</v>
      </c>
      <c r="E7" s="73">
        <v>4.5538765967140682E-2</v>
      </c>
      <c r="F7" s="54">
        <v>4.9803707913788423E-2</v>
      </c>
      <c r="G7" s="73">
        <v>2.1313676730628547E-2</v>
      </c>
      <c r="H7" s="54">
        <v>2.2033025950977999E-2</v>
      </c>
    </row>
    <row r="8" spans="1:8" x14ac:dyDescent="0.3">
      <c r="A8" s="21" t="s">
        <v>37</v>
      </c>
      <c r="B8" s="25">
        <f>AVERAGE(B5:B7)</f>
        <v>0.26378598696478667</v>
      </c>
      <c r="C8" s="25">
        <f t="shared" ref="C8:H8" si="0">AVERAGE(C5:C7)</f>
        <v>0.10473341856757203</v>
      </c>
      <c r="D8" s="25">
        <f t="shared" si="0"/>
        <v>5.6668896325470841E-2</v>
      </c>
      <c r="E8" s="25">
        <f t="shared" si="0"/>
        <v>5.6369651702961689E-2</v>
      </c>
      <c r="F8" s="25">
        <f t="shared" si="0"/>
        <v>3.322310384883953E-2</v>
      </c>
      <c r="G8" s="25">
        <f t="shared" si="0"/>
        <v>2.562827943491983E-2</v>
      </c>
      <c r="H8" s="25">
        <f t="shared" si="0"/>
        <v>1.3835242011939789E-2</v>
      </c>
    </row>
    <row r="9" spans="1:8" x14ac:dyDescent="0.3">
      <c r="A9" s="21" t="s">
        <v>38</v>
      </c>
      <c r="B9" s="25">
        <f>_xlfn.STDEV.P(B5:B7)</f>
        <v>0.10736962001254156</v>
      </c>
      <c r="C9" s="25">
        <f t="shared" ref="C9:H9" si="1">_xlfn.STDEV.P(C5:C7)</f>
        <v>2.8813386578643543E-2</v>
      </c>
      <c r="D9" s="25">
        <f t="shared" si="1"/>
        <v>2.5554611290130039E-2</v>
      </c>
      <c r="E9" s="25">
        <f t="shared" si="1"/>
        <v>1.9560208552929222E-2</v>
      </c>
      <c r="F9" s="25">
        <f t="shared" si="1"/>
        <v>1.1734160126172725E-2</v>
      </c>
      <c r="G9" s="25">
        <f t="shared" si="1"/>
        <v>7.7560278401185428E-3</v>
      </c>
      <c r="H9" s="25">
        <f t="shared" si="1"/>
        <v>5.8001344033797074E-3</v>
      </c>
    </row>
    <row r="10" spans="1:8" x14ac:dyDescent="0.3">
      <c r="E10" s="24">
        <f>AVERAGE(E8:F8)</f>
        <v>4.4796377775900606E-2</v>
      </c>
      <c r="F10" s="24">
        <f>AVERAGE(E9:F9)</f>
        <v>1.5647184339550972E-2</v>
      </c>
    </row>
    <row r="11" spans="1:8" x14ac:dyDescent="0.3">
      <c r="A11" s="21" t="s">
        <v>82</v>
      </c>
    </row>
    <row r="12" spans="1:8" x14ac:dyDescent="0.3">
      <c r="B12" t="s">
        <v>35</v>
      </c>
      <c r="C12" t="s">
        <v>36</v>
      </c>
      <c r="D12" t="s">
        <v>58</v>
      </c>
      <c r="E12" t="s">
        <v>13</v>
      </c>
      <c r="F12" t="s">
        <v>59</v>
      </c>
      <c r="G12" t="s">
        <v>14</v>
      </c>
      <c r="H12" t="s">
        <v>60</v>
      </c>
    </row>
    <row r="13" spans="1:8" x14ac:dyDescent="0.3">
      <c r="A13">
        <v>1</v>
      </c>
      <c r="B13" s="112">
        <v>1.3082103179618962</v>
      </c>
      <c r="C13" s="112">
        <v>0.45223104861942698</v>
      </c>
      <c r="D13" s="112">
        <v>3.9510646819835758E-2</v>
      </c>
      <c r="E13" s="112">
        <v>0.45559088824416283</v>
      </c>
      <c r="F13" s="112">
        <v>2.5523096176022414E-2</v>
      </c>
      <c r="G13" s="112">
        <v>0.46070570182779269</v>
      </c>
      <c r="H13" s="112">
        <v>9.9804658193354927E-3</v>
      </c>
    </row>
    <row r="14" spans="1:8" x14ac:dyDescent="0.3">
      <c r="A14">
        <v>2</v>
      </c>
      <c r="B14" s="112">
        <v>0.74790284392892814</v>
      </c>
      <c r="C14" s="112">
        <v>0.3402291790860838</v>
      </c>
      <c r="D14" s="112">
        <v>3.7702547898267637E-2</v>
      </c>
      <c r="E14" s="112">
        <v>0.36207603594040128</v>
      </c>
      <c r="F14" s="112">
        <v>2.4342507456707747E-2</v>
      </c>
      <c r="G14" s="112">
        <v>0.36207603594040128</v>
      </c>
      <c r="H14" s="112">
        <v>9.4922342655058747E-3</v>
      </c>
    </row>
    <row r="15" spans="1:8" x14ac:dyDescent="0.3">
      <c r="A15">
        <v>3</v>
      </c>
      <c r="B15" s="112">
        <v>0.75213760839573429</v>
      </c>
      <c r="C15" s="112">
        <v>0.21157341151333661</v>
      </c>
      <c r="D15" s="112">
        <v>9.2793494258309142E-2</v>
      </c>
      <c r="E15" s="112">
        <v>0.22097615473185503</v>
      </c>
      <c r="F15" s="112">
        <v>4.9803707913788423E-2</v>
      </c>
      <c r="G15" s="112">
        <v>0.22097615473185503</v>
      </c>
      <c r="H15" s="112">
        <v>2.2033025950977999E-2</v>
      </c>
    </row>
    <row r="16" spans="1:8" x14ac:dyDescent="0.3">
      <c r="A16" s="21" t="s">
        <v>37</v>
      </c>
      <c r="B16" s="25">
        <f t="shared" ref="B16:H16" si="2">AVERAGE(B13:B15)</f>
        <v>0.93608359009551945</v>
      </c>
      <c r="C16" s="25">
        <f t="shared" si="2"/>
        <v>0.33467787973961577</v>
      </c>
      <c r="D16" s="25">
        <f t="shared" si="2"/>
        <v>5.6668896325470841E-2</v>
      </c>
      <c r="E16" s="25">
        <f t="shared" si="2"/>
        <v>0.34621435963880637</v>
      </c>
      <c r="F16" s="25">
        <f t="shared" si="2"/>
        <v>3.322310384883953E-2</v>
      </c>
      <c r="G16" s="25">
        <f t="shared" si="2"/>
        <v>0.34791929750001632</v>
      </c>
      <c r="H16" s="25">
        <f t="shared" si="2"/>
        <v>1.3835242011939789E-2</v>
      </c>
    </row>
    <row r="17" spans="1:8" x14ac:dyDescent="0.3">
      <c r="A17" s="21" t="s">
        <v>38</v>
      </c>
      <c r="B17" s="25">
        <f t="shared" ref="B17:H17" si="3">_xlfn.STDEV.P(B13:B15)</f>
        <v>0.26313901206007068</v>
      </c>
      <c r="C17" s="25">
        <f t="shared" si="3"/>
        <v>9.8326453774140427E-2</v>
      </c>
      <c r="D17" s="25">
        <f t="shared" si="3"/>
        <v>2.5554611290130039E-2</v>
      </c>
      <c r="E17" s="25">
        <f t="shared" si="3"/>
        <v>9.6435515161117549E-2</v>
      </c>
      <c r="F17" s="25">
        <f t="shared" si="3"/>
        <v>1.1734160126172725E-2</v>
      </c>
      <c r="G17" s="25">
        <f t="shared" si="3"/>
        <v>9.8379787457105711E-2</v>
      </c>
      <c r="H17" s="25">
        <f t="shared" si="3"/>
        <v>5.8001344033797074E-3</v>
      </c>
    </row>
    <row r="19" spans="1:8" x14ac:dyDescent="0.3">
      <c r="A19" s="21" t="s">
        <v>40</v>
      </c>
      <c r="B19" t="s">
        <v>39</v>
      </c>
      <c r="C19" t="s">
        <v>13</v>
      </c>
      <c r="D19" t="s">
        <v>14</v>
      </c>
    </row>
    <row r="20" spans="1:8" x14ac:dyDescent="0.3">
      <c r="A20">
        <v>1</v>
      </c>
      <c r="B20" s="75">
        <v>41.637705441834882</v>
      </c>
      <c r="C20" s="75">
        <v>29.33288760384719</v>
      </c>
      <c r="D20" s="75">
        <v>26.814333935095338</v>
      </c>
    </row>
    <row r="21" spans="1:8" x14ac:dyDescent="0.3">
      <c r="A21">
        <v>2</v>
      </c>
      <c r="B21" s="75">
        <v>33.804780178010979</v>
      </c>
      <c r="C21" s="75">
        <v>29.769362487675021</v>
      </c>
      <c r="D21" s="75">
        <v>28.951949516661301</v>
      </c>
    </row>
    <row r="22" spans="1:8" x14ac:dyDescent="0.3">
      <c r="A22">
        <v>3</v>
      </c>
      <c r="B22" s="75">
        <v>37.34934478312001</v>
      </c>
      <c r="C22" s="75">
        <v>23.322648541452121</v>
      </c>
      <c r="D22" s="75">
        <v>22.68861874042765</v>
      </c>
    </row>
    <row r="23" spans="1:8" x14ac:dyDescent="0.3">
      <c r="A23" s="21" t="s">
        <v>37</v>
      </c>
      <c r="B23" s="23">
        <f>AVERAGE(B20:B22)</f>
        <v>37.597276800988624</v>
      </c>
      <c r="C23" s="23">
        <f>AVERAGE(C20:C22)</f>
        <v>27.474966210991443</v>
      </c>
      <c r="D23" s="23">
        <f>AVERAGE(D20:D22)</f>
        <v>26.151634064061426</v>
      </c>
    </row>
    <row r="24" spans="1:8" x14ac:dyDescent="0.3">
      <c r="A24" s="21" t="s">
        <v>38</v>
      </c>
      <c r="B24" s="23">
        <f>_xlfn.STDEV.P(B20:B22)</f>
        <v>3.202580445128167</v>
      </c>
      <c r="C24" s="23">
        <f>_xlfn.STDEV.P(C20:C22)</f>
        <v>2.9415340785186181</v>
      </c>
      <c r="D24" s="23">
        <f>_xlfn.STDEV.P(D20:D22)</f>
        <v>2.5995777147362706</v>
      </c>
    </row>
    <row r="26" spans="1:8" x14ac:dyDescent="0.3">
      <c r="A26" s="21" t="s">
        <v>41</v>
      </c>
    </row>
    <row r="27" spans="1:8" x14ac:dyDescent="0.3">
      <c r="A27">
        <v>1</v>
      </c>
      <c r="B27" s="75">
        <v>58.362294558165125</v>
      </c>
      <c r="C27" s="75">
        <v>70.667112396152802</v>
      </c>
      <c r="D27" s="75">
        <v>73.185666064904666</v>
      </c>
    </row>
    <row r="28" spans="1:8" x14ac:dyDescent="0.3">
      <c r="A28">
        <v>2</v>
      </c>
      <c r="B28" s="75">
        <v>66.195219821989028</v>
      </c>
      <c r="C28" s="75">
        <v>70.230637512324975</v>
      </c>
      <c r="D28" s="75">
        <v>71.048050483338699</v>
      </c>
    </row>
    <row r="29" spans="1:8" x14ac:dyDescent="0.3">
      <c r="A29">
        <v>3</v>
      </c>
      <c r="B29" s="75">
        <v>62.650655216879983</v>
      </c>
      <c r="C29" s="75">
        <v>76.677351458547875</v>
      </c>
      <c r="D29" s="75">
        <v>77.311381259572357</v>
      </c>
    </row>
    <row r="30" spans="1:8" x14ac:dyDescent="0.3">
      <c r="A30" s="21" t="s">
        <v>37</v>
      </c>
      <c r="B30" s="23">
        <f>AVERAGE(B27:B29)</f>
        <v>62.402723199011376</v>
      </c>
      <c r="C30" s="23">
        <f>AVERAGE(C27:C29)</f>
        <v>72.525033789008546</v>
      </c>
      <c r="D30" s="23">
        <f>AVERAGE(D27:D29)</f>
        <v>73.848365935938574</v>
      </c>
    </row>
    <row r="31" spans="1:8" x14ac:dyDescent="0.3">
      <c r="A31" s="21" t="s">
        <v>38</v>
      </c>
      <c r="B31" s="23">
        <f>_xlfn.STDEV.P(B27:B29)</f>
        <v>3.2025804451281665</v>
      </c>
      <c r="C31" s="23">
        <f>_xlfn.STDEV.P(C27:C29)</f>
        <v>2.9415340785186097</v>
      </c>
      <c r="D31" s="23">
        <f>_xlfn.STDEV.P(D27:D29)</f>
        <v>2.5995777147362733</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0"/>
  <sheetViews>
    <sheetView zoomScale="80" zoomScaleNormal="80" workbookViewId="0">
      <selection activeCell="AA28" sqref="AA28"/>
    </sheetView>
  </sheetViews>
  <sheetFormatPr defaultRowHeight="14.4" x14ac:dyDescent="0.3"/>
  <sheetData>
    <row r="1" spans="1:10" x14ac:dyDescent="0.3">
      <c r="A1" t="s">
        <v>83</v>
      </c>
    </row>
    <row r="3" spans="1:10" x14ac:dyDescent="0.3">
      <c r="B3" t="s">
        <v>5</v>
      </c>
    </row>
    <row r="4" spans="1:10" x14ac:dyDescent="0.3">
      <c r="A4" t="s">
        <v>19</v>
      </c>
      <c r="B4" s="19" t="s">
        <v>12</v>
      </c>
      <c r="C4" s="19" t="s">
        <v>13</v>
      </c>
      <c r="D4" s="20" t="s">
        <v>14</v>
      </c>
      <c r="E4" s="18" t="s">
        <v>12</v>
      </c>
      <c r="F4" s="19" t="s">
        <v>13</v>
      </c>
      <c r="G4" s="20" t="s">
        <v>14</v>
      </c>
      <c r="H4" t="s">
        <v>12</v>
      </c>
      <c r="I4" t="s">
        <v>13</v>
      </c>
      <c r="J4" t="s">
        <v>14</v>
      </c>
    </row>
    <row r="5" spans="1:10" x14ac:dyDescent="0.3">
      <c r="A5" s="19">
        <v>0</v>
      </c>
      <c r="B5" s="19">
        <v>0</v>
      </c>
      <c r="C5" s="19">
        <v>0</v>
      </c>
      <c r="D5" s="20">
        <v>0</v>
      </c>
      <c r="E5" s="19">
        <v>0</v>
      </c>
      <c r="F5" s="19">
        <v>0</v>
      </c>
      <c r="G5" s="20">
        <v>0</v>
      </c>
      <c r="H5" s="9">
        <v>0</v>
      </c>
      <c r="I5" s="9">
        <v>0</v>
      </c>
      <c r="J5" s="9">
        <v>0</v>
      </c>
    </row>
    <row r="6" spans="1:10" x14ac:dyDescent="0.3">
      <c r="A6" s="5">
        <v>5</v>
      </c>
      <c r="B6" s="13">
        <v>2.9825066317282567</v>
      </c>
      <c r="C6" s="13">
        <v>0.31108924070514693</v>
      </c>
      <c r="D6" s="14">
        <v>0.1468524784106352</v>
      </c>
      <c r="E6" s="13">
        <v>0.88424606186784616</v>
      </c>
      <c r="F6" s="13">
        <v>0.22794275024161259</v>
      </c>
      <c r="G6" s="14">
        <v>0.12333698075772755</v>
      </c>
      <c r="H6" s="9">
        <v>1.4913867858502321</v>
      </c>
      <c r="I6" s="9">
        <v>0.24541429794284136</v>
      </c>
      <c r="J6" s="9">
        <v>0.10096619100484686</v>
      </c>
    </row>
    <row r="7" spans="1:10" x14ac:dyDescent="0.3">
      <c r="A7" s="5">
        <v>10</v>
      </c>
      <c r="B7" s="13">
        <v>4.8356551251599287</v>
      </c>
      <c r="C7" s="13">
        <v>0.71295210910504259</v>
      </c>
      <c r="D7" s="14">
        <v>0.2846193127608635</v>
      </c>
      <c r="E7" s="13">
        <v>1.5397301597862838</v>
      </c>
      <c r="F7" s="13">
        <v>0.45118443945878783</v>
      </c>
      <c r="G7" s="14">
        <v>0.23161203423583537</v>
      </c>
      <c r="H7" s="9">
        <v>2.7194045001885359</v>
      </c>
      <c r="I7" s="9">
        <v>0.50830104721800362</v>
      </c>
      <c r="J7" s="9">
        <v>0.238712903424322</v>
      </c>
    </row>
    <row r="8" spans="1:10" x14ac:dyDescent="0.3">
      <c r="A8" s="5">
        <v>15</v>
      </c>
      <c r="B8" s="13">
        <v>6.0269020755042417</v>
      </c>
      <c r="C8" s="13">
        <v>1.1663296046725837</v>
      </c>
      <c r="D8" s="14">
        <v>0.43384736835395593</v>
      </c>
      <c r="E8" s="13">
        <v>2.0475262673245185</v>
      </c>
      <c r="F8" s="13">
        <v>0.68627416747204206</v>
      </c>
      <c r="G8" s="14">
        <v>0.33278945158169659</v>
      </c>
      <c r="H8" s="9">
        <v>3.869320903514434</v>
      </c>
      <c r="I8" s="9">
        <v>0.75224635993372913</v>
      </c>
      <c r="J8" s="9">
        <v>0.31515763647686962</v>
      </c>
    </row>
    <row r="9" spans="1:10" x14ac:dyDescent="0.3">
      <c r="A9" s="5">
        <v>20</v>
      </c>
      <c r="B9" s="13">
        <v>6.8820133802988765</v>
      </c>
      <c r="C9" s="13">
        <v>1.6190366366555033</v>
      </c>
      <c r="D9" s="14">
        <v>0.60076774050437654</v>
      </c>
      <c r="E9" s="13">
        <v>2.4638753099080333</v>
      </c>
      <c r="F9" s="13">
        <v>0.89591190321689917</v>
      </c>
      <c r="G9" s="14">
        <v>0.42017954957771375</v>
      </c>
      <c r="H9" s="9">
        <v>4.7944038878755535</v>
      </c>
      <c r="I9" s="9">
        <v>1.0119441950849095</v>
      </c>
      <c r="J9" s="9">
        <v>0.4247649050686661</v>
      </c>
    </row>
    <row r="10" spans="1:10" x14ac:dyDescent="0.3">
      <c r="A10" s="5">
        <v>25</v>
      </c>
      <c r="B10" s="13">
        <v>7.5115449644205894</v>
      </c>
      <c r="C10" s="13">
        <v>2.0425702951245612</v>
      </c>
      <c r="D10" s="14">
        <v>0.80483398103552461</v>
      </c>
      <c r="E10" s="13">
        <v>2.8140823587675516</v>
      </c>
      <c r="F10" s="13">
        <v>1.1079771110037278</v>
      </c>
      <c r="G10" s="14">
        <v>0.51534661740198551</v>
      </c>
      <c r="H10" s="9">
        <v>5.5623420508292378</v>
      </c>
      <c r="I10" s="9">
        <v>1.1794814393207234</v>
      </c>
      <c r="J10" s="9">
        <v>0.52661440622684563</v>
      </c>
    </row>
    <row r="11" spans="1:10" x14ac:dyDescent="0.3">
      <c r="A11" s="5">
        <v>30</v>
      </c>
      <c r="B11" s="13">
        <v>8.0299187535905059</v>
      </c>
      <c r="C11" s="13">
        <v>2.4533127022292738</v>
      </c>
      <c r="D11" s="14">
        <v>0.98409761274021113</v>
      </c>
      <c r="E11" s="13">
        <v>3.0492213772875139</v>
      </c>
      <c r="F11" s="13">
        <v>1.2484811148695292</v>
      </c>
      <c r="G11" s="14">
        <v>0.59381289234715351</v>
      </c>
      <c r="H11" s="9">
        <v>6.2286662265164345</v>
      </c>
      <c r="I11" s="9">
        <v>1.4212956709926825</v>
      </c>
      <c r="J11" s="9">
        <v>0.64469208622467944</v>
      </c>
    </row>
    <row r="12" spans="1:10" x14ac:dyDescent="0.3">
      <c r="A12" s="5">
        <v>35</v>
      </c>
      <c r="B12" s="13">
        <v>8.6342783052760286</v>
      </c>
      <c r="C12" s="13">
        <v>2.8636396137770936</v>
      </c>
      <c r="D12" s="14">
        <v>1.1906145234531764</v>
      </c>
      <c r="E12" s="13">
        <v>3.3252764784947817</v>
      </c>
      <c r="F12" s="13">
        <v>1.4466435862211791</v>
      </c>
      <c r="G12" s="14">
        <v>0.68701435994889726</v>
      </c>
      <c r="H12" s="9">
        <v>6.9209455439991308</v>
      </c>
      <c r="I12" s="9">
        <v>1.6624540791108655</v>
      </c>
      <c r="J12" s="9">
        <v>0.76502986847708621</v>
      </c>
    </row>
    <row r="13" spans="1:10" x14ac:dyDescent="0.3">
      <c r="A13" s="5">
        <v>40</v>
      </c>
      <c r="B13" s="13">
        <v>9.246699196545288</v>
      </c>
      <c r="C13" s="13">
        <v>3.2844637039916087</v>
      </c>
      <c r="D13" s="14">
        <v>1.383707241329196</v>
      </c>
      <c r="E13" s="13">
        <v>3.5913141635467727</v>
      </c>
      <c r="F13" s="13">
        <v>1.6315615898108518</v>
      </c>
      <c r="G13" s="14">
        <v>0.76716829025135314</v>
      </c>
      <c r="H13" s="9">
        <v>7.4851661648147552</v>
      </c>
      <c r="I13" s="9">
        <v>1.8876604217865522</v>
      </c>
      <c r="J13" s="9">
        <v>0.84533898547906283</v>
      </c>
    </row>
    <row r="14" spans="1:10" x14ac:dyDescent="0.3">
      <c r="A14" s="5">
        <v>45</v>
      </c>
      <c r="B14" s="13">
        <v>9.9749662139604318</v>
      </c>
      <c r="C14" s="13">
        <v>3.7086576998067287</v>
      </c>
      <c r="D14" s="14">
        <v>1.6117474292911651</v>
      </c>
      <c r="E14" s="13">
        <v>3.8866715085032819</v>
      </c>
      <c r="F14" s="13">
        <v>1.8305615677205576</v>
      </c>
      <c r="G14" s="14">
        <v>0.879930825790602</v>
      </c>
      <c r="H14" s="9">
        <v>7.7805235097712639</v>
      </c>
      <c r="I14" s="9">
        <v>2.0866603996962581</v>
      </c>
      <c r="J14" s="9">
        <v>0.9581015210183117</v>
      </c>
    </row>
    <row r="15" spans="1:10" x14ac:dyDescent="0.3">
      <c r="A15" s="48">
        <v>50</v>
      </c>
      <c r="B15" s="16">
        <v>10.708046332264997</v>
      </c>
      <c r="C15" s="16">
        <v>4.1144186370920934</v>
      </c>
      <c r="D15" s="17">
        <v>1.8063452544192224</v>
      </c>
      <c r="E15" s="13">
        <v>4.1987960402635665</v>
      </c>
      <c r="F15" s="13">
        <v>2.0065782735054531</v>
      </c>
      <c r="G15" s="14">
        <v>0.99271550286652488</v>
      </c>
      <c r="H15" s="9">
        <v>8.0926480415315485</v>
      </c>
      <c r="I15" s="9">
        <v>2.2626983673892029</v>
      </c>
      <c r="J15" s="9">
        <v>1.0708861980942346</v>
      </c>
    </row>
    <row r="16" spans="1:10" x14ac:dyDescent="0.3">
      <c r="A16" s="19">
        <v>60</v>
      </c>
      <c r="B16" s="45">
        <v>11.050093639819375</v>
      </c>
      <c r="C16" s="45">
        <v>4.3676739169493795</v>
      </c>
      <c r="D16" s="46">
        <v>1.8797951612929971</v>
      </c>
      <c r="E16" s="44">
        <v>4.5408433478179449</v>
      </c>
      <c r="F16" s="45">
        <v>2.2598335533627387</v>
      </c>
      <c r="G16" s="46">
        <v>1.0661654097402995</v>
      </c>
      <c r="H16" s="9">
        <v>8.3813741041603524</v>
      </c>
      <c r="I16" s="9">
        <v>2.7505064353564119</v>
      </c>
      <c r="J16" s="9">
        <v>1.2414330983213024</v>
      </c>
    </row>
    <row r="17" spans="1:10" x14ac:dyDescent="0.3">
      <c r="A17" s="5">
        <v>70</v>
      </c>
      <c r="B17" s="13">
        <v>11.518776077857598</v>
      </c>
      <c r="C17" s="13">
        <v>4.6390850003337194</v>
      </c>
      <c r="D17" s="14">
        <v>1.9690701096925434</v>
      </c>
      <c r="E17" s="12">
        <v>5.3854669405824964</v>
      </c>
      <c r="F17" s="13">
        <v>2.7798412959327488</v>
      </c>
      <c r="G17" s="14">
        <v>1.257357244598182</v>
      </c>
      <c r="H17" s="9">
        <v>8.9405500429947047</v>
      </c>
      <c r="I17" s="9">
        <v>3.1931669498188002</v>
      </c>
      <c r="J17" s="9">
        <v>1.4469776865380579</v>
      </c>
    </row>
    <row r="18" spans="1:10" x14ac:dyDescent="0.3">
      <c r="A18" s="5">
        <v>80</v>
      </c>
      <c r="B18" s="13">
        <v>11.910046619464296</v>
      </c>
      <c r="C18" s="13">
        <v>4.8973310989677836</v>
      </c>
      <c r="D18" s="14">
        <v>2.074664632165542</v>
      </c>
      <c r="E18" s="12">
        <v>5.3854669405824964</v>
      </c>
      <c r="F18" s="13">
        <v>2.7798412959327488</v>
      </c>
      <c r="G18" s="14">
        <v>1.257357244598182</v>
      </c>
      <c r="H18" s="9">
        <v>10.217433706813159</v>
      </c>
      <c r="I18" s="9">
        <v>3.8056670152121281</v>
      </c>
      <c r="J18" s="9">
        <v>1.7065610080314875</v>
      </c>
    </row>
    <row r="19" spans="1:10" x14ac:dyDescent="0.3">
      <c r="A19" s="5">
        <v>90</v>
      </c>
      <c r="B19" s="13">
        <v>12.227504919707677</v>
      </c>
      <c r="C19" s="13">
        <v>5.1212319679143237</v>
      </c>
      <c r="D19" s="14">
        <v>2.1649995869198877</v>
      </c>
      <c r="E19" s="12">
        <v>5.6951823554540875</v>
      </c>
      <c r="F19" s="13">
        <v>2.9982811680757142</v>
      </c>
      <c r="G19" s="14">
        <v>1.3454889077731533</v>
      </c>
      <c r="H19" s="9">
        <v>11.022603346618645</v>
      </c>
      <c r="I19" s="9">
        <v>4.1173839301118669</v>
      </c>
      <c r="J19" s="9">
        <v>1.8573677317191311</v>
      </c>
    </row>
    <row r="20" spans="1:10" x14ac:dyDescent="0.3">
      <c r="A20" s="48">
        <v>100</v>
      </c>
      <c r="B20" s="16">
        <v>12.68909073339918</v>
      </c>
      <c r="C20" s="16">
        <v>5.397251319107883</v>
      </c>
      <c r="D20" s="17">
        <v>2.3127363019019729</v>
      </c>
      <c r="E20" s="15">
        <v>6.1453709885606154</v>
      </c>
      <c r="F20" s="16">
        <v>3.2674852266472101</v>
      </c>
      <c r="G20" s="17">
        <v>1.4895778026322239</v>
      </c>
      <c r="H20" s="9">
        <v>12.748078361374523</v>
      </c>
      <c r="I20" s="9">
        <v>4.8063314114224536</v>
      </c>
      <c r="J20" s="9">
        <v>2.1917205703253115</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9"/>
  <sheetViews>
    <sheetView tabSelected="1" zoomScale="60" zoomScaleNormal="60" workbookViewId="0">
      <selection activeCell="O35" sqref="O35"/>
    </sheetView>
  </sheetViews>
  <sheetFormatPr defaultRowHeight="14.4" x14ac:dyDescent="0.3"/>
  <cols>
    <col min="7" max="7" width="10.44140625" customWidth="1"/>
    <col min="8" max="8" width="10.77734375" customWidth="1"/>
  </cols>
  <sheetData>
    <row r="1" spans="1:24" x14ac:dyDescent="0.3">
      <c r="A1" t="s">
        <v>64</v>
      </c>
      <c r="B1" t="s">
        <v>67</v>
      </c>
      <c r="C1">
        <v>64.400000000000006</v>
      </c>
      <c r="E1" s="25">
        <v>0.26378598696478667</v>
      </c>
      <c r="F1">
        <v>0.10473341856757203</v>
      </c>
      <c r="G1" s="25">
        <v>5.6668896325470841E-2</v>
      </c>
      <c r="I1">
        <v>5.6369651702961689E-2</v>
      </c>
      <c r="J1">
        <v>3.322310384883953E-2</v>
      </c>
      <c r="N1">
        <v>2.562827943491983E-2</v>
      </c>
      <c r="O1">
        <v>1.3835242011939789E-2</v>
      </c>
    </row>
    <row r="2" spans="1:24" x14ac:dyDescent="0.3">
      <c r="B2" t="s">
        <v>12</v>
      </c>
      <c r="C2">
        <f>64.4*0.53</f>
        <v>34.132000000000005</v>
      </c>
      <c r="E2" s="25">
        <v>0.10736962001254156</v>
      </c>
      <c r="F2">
        <v>2.8813386578643543E-2</v>
      </c>
      <c r="G2" s="25">
        <v>2.5554611290130039E-2</v>
      </c>
      <c r="I2">
        <v>1.9560208552929222E-2</v>
      </c>
      <c r="J2">
        <v>1.1734160126172725E-2</v>
      </c>
      <c r="N2">
        <v>7.7560278401185428E-3</v>
      </c>
      <c r="O2">
        <v>5.8001344033797074E-3</v>
      </c>
    </row>
    <row r="3" spans="1:24" x14ac:dyDescent="0.3">
      <c r="G3">
        <f>C1*0.32</f>
        <v>20.608000000000001</v>
      </c>
      <c r="N3">
        <f>C1*0.15</f>
        <v>9.66</v>
      </c>
    </row>
    <row r="5" spans="1:24" x14ac:dyDescent="0.3">
      <c r="B5" s="119" t="s">
        <v>22</v>
      </c>
      <c r="C5" s="120"/>
      <c r="D5" s="120"/>
      <c r="E5" s="120"/>
      <c r="F5" s="120"/>
      <c r="G5" s="121"/>
      <c r="H5" s="37"/>
      <c r="I5" s="123" t="s">
        <v>12</v>
      </c>
      <c r="J5" s="123"/>
      <c r="K5" s="123"/>
      <c r="L5" s="123"/>
      <c r="N5" s="126" t="s">
        <v>73</v>
      </c>
      <c r="O5" s="127"/>
      <c r="P5" s="127"/>
      <c r="Q5" s="127"/>
      <c r="R5" s="127"/>
      <c r="S5" s="128"/>
      <c r="U5" s="124" t="s">
        <v>14</v>
      </c>
      <c r="V5" s="124"/>
      <c r="W5" s="124"/>
      <c r="X5" s="124"/>
    </row>
    <row r="6" spans="1:24" x14ac:dyDescent="0.3">
      <c r="A6" t="s">
        <v>5</v>
      </c>
      <c r="B6" s="113" t="s">
        <v>69</v>
      </c>
      <c r="C6" s="115"/>
      <c r="D6" s="113" t="s">
        <v>70</v>
      </c>
      <c r="E6" s="115"/>
      <c r="F6" s="113" t="s">
        <v>71</v>
      </c>
      <c r="G6" s="115"/>
      <c r="H6" t="s">
        <v>72</v>
      </c>
      <c r="I6" s="6" t="s">
        <v>74</v>
      </c>
      <c r="J6" s="7"/>
      <c r="K6" s="7"/>
      <c r="L6" s="8"/>
      <c r="N6" s="113" t="s">
        <v>69</v>
      </c>
      <c r="O6" s="115"/>
      <c r="P6" s="113" t="s">
        <v>70</v>
      </c>
      <c r="Q6" s="115"/>
      <c r="R6" s="113" t="s">
        <v>71</v>
      </c>
      <c r="S6" s="115"/>
      <c r="T6" t="s">
        <v>72</v>
      </c>
      <c r="U6" s="6" t="s">
        <v>74</v>
      </c>
      <c r="V6" s="7"/>
      <c r="W6" s="7"/>
      <c r="X6" s="8"/>
    </row>
    <row r="7" spans="1:24" x14ac:dyDescent="0.3">
      <c r="A7" t="s">
        <v>65</v>
      </c>
      <c r="B7" s="80" t="s">
        <v>66</v>
      </c>
      <c r="C7" s="81" t="s">
        <v>68</v>
      </c>
      <c r="D7" s="80" t="s">
        <v>66</v>
      </c>
      <c r="E7" s="81" t="s">
        <v>68</v>
      </c>
      <c r="F7" s="80" t="s">
        <v>66</v>
      </c>
      <c r="G7" s="81" t="s">
        <v>68</v>
      </c>
      <c r="I7" s="90" t="s">
        <v>69</v>
      </c>
      <c r="J7" s="91" t="s">
        <v>70</v>
      </c>
      <c r="K7" s="90" t="s">
        <v>71</v>
      </c>
      <c r="L7" s="91" t="s">
        <v>72</v>
      </c>
      <c r="M7" s="92"/>
      <c r="U7" s="90" t="s">
        <v>69</v>
      </c>
      <c r="V7" s="91" t="s">
        <v>70</v>
      </c>
      <c r="W7" s="90" t="s">
        <v>71</v>
      </c>
      <c r="X7" s="91" t="s">
        <v>72</v>
      </c>
    </row>
    <row r="8" spans="1:24" x14ac:dyDescent="0.3">
      <c r="A8" s="18">
        <v>0</v>
      </c>
      <c r="B8" s="82">
        <f>C1*53/100</f>
        <v>34.132000000000005</v>
      </c>
      <c r="C8" s="83">
        <f t="shared" ref="C8:C23" si="0">$B$8-B8</f>
        <v>0</v>
      </c>
      <c r="D8" s="82">
        <f>C1*0.53</f>
        <v>34.132000000000005</v>
      </c>
      <c r="E8" s="83">
        <f t="shared" ref="E8:E23" si="1">$D$8-D8</f>
        <v>0</v>
      </c>
      <c r="F8" s="82">
        <f>C1*0.53</f>
        <v>34.132000000000005</v>
      </c>
      <c r="G8" s="83">
        <f>$F$8-F8</f>
        <v>0</v>
      </c>
      <c r="H8" s="19">
        <v>0</v>
      </c>
      <c r="I8" s="93">
        <f>C8*100/$C$2</f>
        <v>0</v>
      </c>
      <c r="J8" s="93">
        <f>E8*100/$C$2</f>
        <v>0</v>
      </c>
      <c r="K8" s="93">
        <f>G8*100/$C$2</f>
        <v>0</v>
      </c>
      <c r="L8" s="93">
        <f>H8*100/$C$2</f>
        <v>0</v>
      </c>
      <c r="N8" s="9">
        <f>C1*0.15</f>
        <v>9.66</v>
      </c>
      <c r="O8" s="9">
        <f>$N$8-N8</f>
        <v>0</v>
      </c>
      <c r="P8" s="9">
        <f>C1*0.15</f>
        <v>9.66</v>
      </c>
      <c r="Q8" s="9">
        <f>$P$8-P8</f>
        <v>0</v>
      </c>
      <c r="R8" s="9">
        <f>C1*0.15</f>
        <v>9.66</v>
      </c>
      <c r="S8" s="9">
        <f>$R$8-R8</f>
        <v>0</v>
      </c>
      <c r="T8">
        <v>0</v>
      </c>
      <c r="U8" s="93">
        <f>O8*100/$N$3</f>
        <v>0</v>
      </c>
      <c r="V8" s="93">
        <f>Q8*100/$N$3</f>
        <v>0</v>
      </c>
      <c r="W8" s="93">
        <f>S8*100/$N$3</f>
        <v>0</v>
      </c>
      <c r="X8" s="93">
        <f>T8*100/$N$3</f>
        <v>0</v>
      </c>
    </row>
    <row r="9" spans="1:24" x14ac:dyDescent="0.3">
      <c r="A9" s="10">
        <v>5</v>
      </c>
      <c r="B9" s="84">
        <f>$B$8-E1*A9-$A$8</f>
        <v>32.813070065176071</v>
      </c>
      <c r="C9" s="85">
        <f t="shared" si="0"/>
        <v>1.3189299348239345</v>
      </c>
      <c r="D9" s="84">
        <f>D8-(($E$1+$E$2))*5</f>
        <v>32.276221965113365</v>
      </c>
      <c r="E9" s="85">
        <f t="shared" si="1"/>
        <v>1.8557780348866402</v>
      </c>
      <c r="F9" s="84">
        <f>F8-(($E$1-$E$2))*5</f>
        <v>33.349918165238776</v>
      </c>
      <c r="G9" s="85">
        <f t="shared" ref="G9:G23" si="2">$F$8-F9</f>
        <v>0.78208183476122883</v>
      </c>
      <c r="H9" s="13">
        <v>1.4913867858502321</v>
      </c>
      <c r="I9" s="93">
        <f t="shared" ref="I9:I23" si="3">C9*100/$C$2</f>
        <v>3.8642034888782795</v>
      </c>
      <c r="J9" s="93">
        <f t="shared" ref="J9:J23" si="4">E9*100/$C$2</f>
        <v>5.4370620968201102</v>
      </c>
      <c r="K9" s="93">
        <f t="shared" ref="K9:K23" si="5">G9*100/$C$2</f>
        <v>2.2913448809364487</v>
      </c>
      <c r="L9" s="93">
        <f t="shared" ref="L9:L23" si="6">H9*100/$C$2</f>
        <v>4.3694679065106987</v>
      </c>
      <c r="N9" s="9">
        <f>N8-$N$1*5</f>
        <v>9.5318586028254018</v>
      </c>
      <c r="O9" s="9">
        <f t="shared" ref="O9:O23" si="7">$N$8-N9</f>
        <v>0.12814139717459838</v>
      </c>
      <c r="P9" s="9">
        <f>P8-(($N$1+$N$2)*5)</f>
        <v>9.4930784636248084</v>
      </c>
      <c r="Q9" s="9">
        <f>$P$8-P9</f>
        <v>0.16692153637519169</v>
      </c>
      <c r="R9" s="9">
        <f>R8-(($N$1-$N$2)*5)</f>
        <v>9.5706387420259933</v>
      </c>
      <c r="S9" s="9">
        <f t="shared" ref="S9:S23" si="8">$R$8-R9</f>
        <v>8.9361257974006847E-2</v>
      </c>
      <c r="T9">
        <v>0.10096619100484686</v>
      </c>
      <c r="U9" s="93">
        <f t="shared" ref="U9:U23" si="9">O9*100/$N$3</f>
        <v>1.3265154987018466</v>
      </c>
      <c r="V9" s="93">
        <f t="shared" ref="V9:V23" si="10">Q9*100/$N$3</f>
        <v>1.7279662150640962</v>
      </c>
      <c r="W9" s="93">
        <f t="shared" ref="W9:W23" si="11">S9*100/$N$3</f>
        <v>0.92506478233961542</v>
      </c>
      <c r="X9" s="93">
        <f t="shared" ref="X9:X23" si="12">T9*100/$N$3</f>
        <v>1.0451986646464477</v>
      </c>
    </row>
    <row r="10" spans="1:24" x14ac:dyDescent="0.3">
      <c r="A10" s="10">
        <v>10</v>
      </c>
      <c r="B10" s="84">
        <f>$B$8-$E$1*A10-$A$8</f>
        <v>31.49414013035214</v>
      </c>
      <c r="C10" s="85">
        <f t="shared" si="0"/>
        <v>2.6378598696478655</v>
      </c>
      <c r="D10" s="84">
        <f>D9-(($E$1+$E$2))*5</f>
        <v>30.420443930226725</v>
      </c>
      <c r="E10" s="85">
        <f t="shared" si="1"/>
        <v>3.7115560697732803</v>
      </c>
      <c r="F10" s="84">
        <f>F9-(($E$1-$E$2))*5</f>
        <v>32.567836330477547</v>
      </c>
      <c r="G10" s="85">
        <f t="shared" si="2"/>
        <v>1.5641636695224577</v>
      </c>
      <c r="H10" s="13">
        <v>2.7194045001885359</v>
      </c>
      <c r="I10" s="93">
        <f t="shared" si="3"/>
        <v>7.7284069777565483</v>
      </c>
      <c r="J10" s="93">
        <f t="shared" si="4"/>
        <v>10.87412419364022</v>
      </c>
      <c r="K10" s="93">
        <f t="shared" si="5"/>
        <v>4.5826897618728974</v>
      </c>
      <c r="L10" s="93">
        <f t="shared" si="6"/>
        <v>7.9673165949505904</v>
      </c>
      <c r="N10" s="9">
        <f t="shared" ref="N10:N18" si="13">N9-$N$1*5</f>
        <v>9.4037172056508034</v>
      </c>
      <c r="O10" s="9">
        <f t="shared" si="7"/>
        <v>0.25628279434919676</v>
      </c>
      <c r="P10" s="9">
        <f t="shared" ref="P10:P18" si="14">P9-(($N$1+$N$2)*5)</f>
        <v>9.3261569272496168</v>
      </c>
      <c r="Q10" s="9">
        <f t="shared" ref="Q10:Q23" si="15">$P$8-P10</f>
        <v>0.33384307275038339</v>
      </c>
      <c r="R10" s="9">
        <f t="shared" ref="R10:R18" si="16">R9-(($N$1-$N$2)*5)</f>
        <v>9.4812774840519864</v>
      </c>
      <c r="S10" s="9">
        <f t="shared" si="8"/>
        <v>0.17872251594801369</v>
      </c>
      <c r="T10">
        <v>0.238712903424322</v>
      </c>
      <c r="U10" s="93">
        <f t="shared" si="9"/>
        <v>2.6530309974036932</v>
      </c>
      <c r="V10" s="93">
        <f t="shared" si="10"/>
        <v>3.4559324301281924</v>
      </c>
      <c r="W10" s="93">
        <f t="shared" si="11"/>
        <v>1.8501295646792308</v>
      </c>
      <c r="X10" s="93">
        <f t="shared" si="12"/>
        <v>2.4711480685747618</v>
      </c>
    </row>
    <row r="11" spans="1:24" x14ac:dyDescent="0.3">
      <c r="A11" s="47">
        <v>15</v>
      </c>
      <c r="B11" s="89">
        <f>$B$8-$E$1*A11-$A$8</f>
        <v>30.175210195528205</v>
      </c>
      <c r="C11" s="89">
        <f t="shared" si="0"/>
        <v>3.9567898044718</v>
      </c>
      <c r="D11" s="89">
        <f t="shared" ref="D11" si="17">D10-(($E$1+$E$2))*5</f>
        <v>28.564665895340084</v>
      </c>
      <c r="E11" s="89">
        <f t="shared" si="1"/>
        <v>5.5673341046599205</v>
      </c>
      <c r="F11" s="89">
        <f t="shared" ref="F11" si="18">F10-(($E$1-$E$2))*5</f>
        <v>31.785754495716322</v>
      </c>
      <c r="G11" s="87">
        <f t="shared" si="2"/>
        <v>2.3462455042836829</v>
      </c>
      <c r="H11" s="13">
        <v>3.869320903514434</v>
      </c>
      <c r="I11" s="93">
        <f t="shared" si="3"/>
        <v>11.592610466634827</v>
      </c>
      <c r="J11" s="93">
        <f t="shared" si="4"/>
        <v>16.311186290460331</v>
      </c>
      <c r="K11" s="93">
        <f t="shared" si="5"/>
        <v>6.8740346428093364</v>
      </c>
      <c r="L11" s="93">
        <f t="shared" si="6"/>
        <v>11.336343910448942</v>
      </c>
      <c r="N11" s="9">
        <f>N10-$N$1*5</f>
        <v>9.275575808476205</v>
      </c>
      <c r="O11" s="9">
        <f t="shared" si="7"/>
        <v>0.38442419152379514</v>
      </c>
      <c r="P11" s="9">
        <f t="shared" si="14"/>
        <v>9.1592353908744251</v>
      </c>
      <c r="Q11" s="9">
        <f t="shared" si="15"/>
        <v>0.50076460912557508</v>
      </c>
      <c r="R11" s="9">
        <f t="shared" si="16"/>
        <v>9.3919162260779796</v>
      </c>
      <c r="S11" s="9">
        <f t="shared" si="8"/>
        <v>0.26808377392202054</v>
      </c>
      <c r="T11">
        <v>0.31515763647686962</v>
      </c>
      <c r="U11" s="93">
        <f t="shared" si="9"/>
        <v>3.9795464961055398</v>
      </c>
      <c r="V11" s="93">
        <f t="shared" si="10"/>
        <v>5.1838986451922882</v>
      </c>
      <c r="W11" s="93">
        <f t="shared" si="11"/>
        <v>2.775194347018846</v>
      </c>
      <c r="X11" s="93">
        <f t="shared" si="12"/>
        <v>3.2625014128040335</v>
      </c>
    </row>
    <row r="12" spans="1:24" x14ac:dyDescent="0.3">
      <c r="A12" s="10">
        <v>20</v>
      </c>
      <c r="B12" s="84">
        <f>B11-$F$1*(5)</f>
        <v>29.651543102690344</v>
      </c>
      <c r="C12" s="85">
        <f t="shared" si="0"/>
        <v>4.4804568973096615</v>
      </c>
      <c r="D12" s="84">
        <f>D11-(($F$1+$F$2)*5)</f>
        <v>27.896931869609006</v>
      </c>
      <c r="E12" s="85">
        <f t="shared" si="1"/>
        <v>6.2350681303909994</v>
      </c>
      <c r="F12" s="84">
        <f>F11-(($F$1-$F$2)*5)</f>
        <v>31.406154335771678</v>
      </c>
      <c r="G12" s="85">
        <f t="shared" si="2"/>
        <v>2.7258456642283271</v>
      </c>
      <c r="H12" s="12">
        <v>4.7944038878755535</v>
      </c>
      <c r="I12" s="93">
        <f t="shared" si="3"/>
        <v>13.12685133396713</v>
      </c>
      <c r="J12" s="93">
        <f t="shared" si="4"/>
        <v>18.267514738049332</v>
      </c>
      <c r="K12" s="93">
        <f t="shared" si="5"/>
        <v>7.9861879298849372</v>
      </c>
      <c r="L12" s="93">
        <f t="shared" si="6"/>
        <v>14.046653837675942</v>
      </c>
      <c r="N12" s="9">
        <f t="shared" si="13"/>
        <v>9.1474344113016066</v>
      </c>
      <c r="O12" s="9">
        <f t="shared" si="7"/>
        <v>0.51256558869839353</v>
      </c>
      <c r="P12" s="9">
        <f t="shared" si="14"/>
        <v>8.9923138544992334</v>
      </c>
      <c r="Q12" s="9">
        <f t="shared" si="15"/>
        <v>0.66768614550076677</v>
      </c>
      <c r="R12" s="9">
        <f t="shared" si="16"/>
        <v>9.3025549681039728</v>
      </c>
      <c r="S12" s="9">
        <f t="shared" si="8"/>
        <v>0.35744503189602739</v>
      </c>
      <c r="T12">
        <v>0.4247649050686661</v>
      </c>
      <c r="U12" s="93">
        <f t="shared" si="9"/>
        <v>5.3060619948073864</v>
      </c>
      <c r="V12" s="93">
        <f t="shared" si="10"/>
        <v>6.9118648602563848</v>
      </c>
      <c r="W12" s="93">
        <f t="shared" si="11"/>
        <v>3.7002591293584617</v>
      </c>
      <c r="X12" s="93">
        <f t="shared" si="12"/>
        <v>4.3971522263837075</v>
      </c>
    </row>
    <row r="13" spans="1:24" x14ac:dyDescent="0.3">
      <c r="A13" s="10">
        <v>25</v>
      </c>
      <c r="B13" s="84">
        <f t="shared" ref="B13:B18" si="19">B12-$F$1*(5)</f>
        <v>29.127876009852482</v>
      </c>
      <c r="C13" s="85">
        <f t="shared" si="0"/>
        <v>5.004123990147523</v>
      </c>
      <c r="D13" s="84">
        <f t="shared" ref="D13:D17" si="20">D12-(($F$1+$F$2)*5)</f>
        <v>27.229197843877927</v>
      </c>
      <c r="E13" s="85">
        <f t="shared" si="1"/>
        <v>6.9028021561220783</v>
      </c>
      <c r="F13" s="84">
        <f t="shared" ref="F13:F17" si="21">F12-(($F$1-$F$2)*5)</f>
        <v>31.026554175827034</v>
      </c>
      <c r="G13" s="85">
        <f t="shared" si="2"/>
        <v>3.1054458241729712</v>
      </c>
      <c r="H13" s="12">
        <v>5.5623420508292378</v>
      </c>
      <c r="I13" s="93">
        <f t="shared" si="3"/>
        <v>14.661092201299432</v>
      </c>
      <c r="J13" s="93">
        <f t="shared" si="4"/>
        <v>20.223843185638337</v>
      </c>
      <c r="K13" s="93">
        <f t="shared" si="5"/>
        <v>9.098341216960538</v>
      </c>
      <c r="L13" s="93">
        <f t="shared" si="6"/>
        <v>16.296560561435712</v>
      </c>
      <c r="N13" s="9">
        <f t="shared" si="13"/>
        <v>9.0192930141270082</v>
      </c>
      <c r="O13" s="9">
        <f t="shared" si="7"/>
        <v>0.64070698587299191</v>
      </c>
      <c r="P13" s="9">
        <f t="shared" si="14"/>
        <v>8.8253923181240417</v>
      </c>
      <c r="Q13" s="9">
        <f t="shared" si="15"/>
        <v>0.83460768187595846</v>
      </c>
      <c r="R13" s="9">
        <f t="shared" si="16"/>
        <v>9.2131937101299659</v>
      </c>
      <c r="S13" s="9">
        <f t="shared" si="8"/>
        <v>0.44680628987003423</v>
      </c>
      <c r="T13">
        <v>0.52661440622684563</v>
      </c>
      <c r="U13" s="93">
        <f t="shared" si="9"/>
        <v>6.632577493509233</v>
      </c>
      <c r="V13" s="93">
        <f t="shared" si="10"/>
        <v>8.6398310753204814</v>
      </c>
      <c r="W13" s="93">
        <f t="shared" si="11"/>
        <v>4.6253239116980769</v>
      </c>
      <c r="X13" s="93">
        <f t="shared" si="12"/>
        <v>5.4514948884766632</v>
      </c>
    </row>
    <row r="14" spans="1:24" x14ac:dyDescent="0.3">
      <c r="A14" s="10">
        <v>30</v>
      </c>
      <c r="B14" s="84">
        <f t="shared" si="19"/>
        <v>28.604208917014621</v>
      </c>
      <c r="C14" s="85">
        <f t="shared" si="0"/>
        <v>5.5277910829853845</v>
      </c>
      <c r="D14" s="84">
        <f>D13-(($F$1+$F$2)*5)</f>
        <v>26.561463818146848</v>
      </c>
      <c r="E14" s="85">
        <f t="shared" si="1"/>
        <v>7.5705361818531571</v>
      </c>
      <c r="F14" s="84">
        <f>F13-(($F$1-$F$2)*5)</f>
        <v>30.64695401588239</v>
      </c>
      <c r="G14" s="85">
        <f t="shared" si="2"/>
        <v>3.4850459841176153</v>
      </c>
      <c r="H14" s="12">
        <v>6.2286662265164345</v>
      </c>
      <c r="I14" s="93">
        <f t="shared" si="3"/>
        <v>16.195333068631733</v>
      </c>
      <c r="J14" s="93">
        <f t="shared" si="4"/>
        <v>22.180171633227342</v>
      </c>
      <c r="K14" s="93">
        <f t="shared" si="5"/>
        <v>10.21049450403614</v>
      </c>
      <c r="L14" s="93">
        <f t="shared" si="6"/>
        <v>18.248758427623443</v>
      </c>
      <c r="N14" s="9">
        <f t="shared" si="13"/>
        <v>8.8911516169524099</v>
      </c>
      <c r="O14" s="9">
        <f t="shared" si="7"/>
        <v>0.76884838304759029</v>
      </c>
      <c r="P14" s="9">
        <f t="shared" si="14"/>
        <v>8.65847078174885</v>
      </c>
      <c r="Q14" s="9">
        <f t="shared" si="15"/>
        <v>1.0015292182511502</v>
      </c>
      <c r="R14" s="9">
        <f t="shared" si="16"/>
        <v>9.1238324521559591</v>
      </c>
      <c r="S14" s="9">
        <f t="shared" si="8"/>
        <v>0.53616754784404108</v>
      </c>
      <c r="T14">
        <v>0.64469208622467944</v>
      </c>
      <c r="U14" s="93">
        <f t="shared" si="9"/>
        <v>7.9590929922110796</v>
      </c>
      <c r="V14" s="93">
        <f t="shared" si="10"/>
        <v>10.367797290384576</v>
      </c>
      <c r="W14" s="93">
        <f t="shared" si="11"/>
        <v>5.5503886940376921</v>
      </c>
      <c r="X14" s="93">
        <f t="shared" si="12"/>
        <v>6.6738311203382965</v>
      </c>
    </row>
    <row r="15" spans="1:24" x14ac:dyDescent="0.3">
      <c r="A15" s="10">
        <v>35</v>
      </c>
      <c r="B15" s="84">
        <f t="shared" si="19"/>
        <v>28.080541824176759</v>
      </c>
      <c r="C15" s="85">
        <f t="shared" si="0"/>
        <v>6.051458175823246</v>
      </c>
      <c r="D15" s="84">
        <f t="shared" si="20"/>
        <v>25.893729792415769</v>
      </c>
      <c r="E15" s="85">
        <f t="shared" si="1"/>
        <v>8.238270207584236</v>
      </c>
      <c r="F15" s="84">
        <f t="shared" si="21"/>
        <v>30.267353855937746</v>
      </c>
      <c r="G15" s="85">
        <f t="shared" si="2"/>
        <v>3.8646461440622595</v>
      </c>
      <c r="H15" s="12">
        <v>6.9209455439991308</v>
      </c>
      <c r="I15" s="93">
        <f t="shared" si="3"/>
        <v>17.729573935964037</v>
      </c>
      <c r="J15" s="93">
        <f t="shared" si="4"/>
        <v>24.136500080816344</v>
      </c>
      <c r="K15" s="93">
        <f t="shared" si="5"/>
        <v>11.32264779111174</v>
      </c>
      <c r="L15" s="93">
        <f t="shared" si="6"/>
        <v>20.276999718736462</v>
      </c>
      <c r="N15" s="9">
        <f t="shared" si="13"/>
        <v>8.7630102197778115</v>
      </c>
      <c r="O15" s="9">
        <f t="shared" si="7"/>
        <v>0.89698978022218867</v>
      </c>
      <c r="P15" s="9">
        <f t="shared" si="14"/>
        <v>8.4915492453736583</v>
      </c>
      <c r="Q15" s="9">
        <f t="shared" si="15"/>
        <v>1.1684507546263418</v>
      </c>
      <c r="R15" s="9">
        <f t="shared" si="16"/>
        <v>9.0344711941819522</v>
      </c>
      <c r="S15" s="9">
        <f t="shared" si="8"/>
        <v>0.62552880581804793</v>
      </c>
      <c r="T15">
        <v>0.76502986847708621</v>
      </c>
      <c r="U15" s="93">
        <f t="shared" si="9"/>
        <v>9.2856084909129262</v>
      </c>
      <c r="V15" s="93">
        <f t="shared" si="10"/>
        <v>12.095763505448673</v>
      </c>
      <c r="W15" s="93">
        <f t="shared" si="11"/>
        <v>6.4754534763773073</v>
      </c>
      <c r="X15" s="93">
        <f t="shared" si="12"/>
        <v>7.9195638558704582</v>
      </c>
    </row>
    <row r="16" spans="1:24" x14ac:dyDescent="0.3">
      <c r="A16" s="10">
        <v>40</v>
      </c>
      <c r="B16" s="84">
        <f t="shared" si="19"/>
        <v>27.556874731338898</v>
      </c>
      <c r="C16" s="85">
        <f t="shared" si="0"/>
        <v>6.5751252686611075</v>
      </c>
      <c r="D16" s="84">
        <f t="shared" si="20"/>
        <v>25.22599576668469</v>
      </c>
      <c r="E16" s="85">
        <f t="shared" si="1"/>
        <v>8.9060042333153149</v>
      </c>
      <c r="F16" s="84">
        <f>F15-(($F$1-$F$2)*5)</f>
        <v>29.887753695993101</v>
      </c>
      <c r="G16" s="85">
        <f>$F$8-F16</f>
        <v>4.2442463040069036</v>
      </c>
      <c r="H16" s="12">
        <v>7.4851661648147552</v>
      </c>
      <c r="I16" s="93">
        <f t="shared" si="3"/>
        <v>19.263814803296338</v>
      </c>
      <c r="J16" s="93">
        <f t="shared" si="4"/>
        <v>26.092828528405349</v>
      </c>
      <c r="K16" s="93">
        <f t="shared" si="5"/>
        <v>12.434801078187341</v>
      </c>
      <c r="L16" s="93">
        <f t="shared" si="6"/>
        <v>21.930054391230382</v>
      </c>
      <c r="N16" s="9">
        <f t="shared" si="13"/>
        <v>8.6348688226032131</v>
      </c>
      <c r="O16" s="9">
        <f t="shared" si="7"/>
        <v>1.0251311773967871</v>
      </c>
      <c r="P16" s="9">
        <f t="shared" si="14"/>
        <v>8.3246277089984666</v>
      </c>
      <c r="Q16" s="9">
        <f t="shared" si="15"/>
        <v>1.3353722910015335</v>
      </c>
      <c r="R16" s="9">
        <f t="shared" si="16"/>
        <v>8.9451099362079454</v>
      </c>
      <c r="S16" s="9">
        <f t="shared" si="8"/>
        <v>0.71489006379205478</v>
      </c>
      <c r="T16">
        <v>0.84533898547906283</v>
      </c>
      <c r="U16" s="93">
        <f t="shared" si="9"/>
        <v>10.612123989614773</v>
      </c>
      <c r="V16" s="93">
        <f t="shared" si="10"/>
        <v>13.82372972051277</v>
      </c>
      <c r="W16" s="93">
        <f t="shared" si="11"/>
        <v>7.4005182587169234</v>
      </c>
      <c r="X16" s="93">
        <f t="shared" si="12"/>
        <v>8.7509211747315003</v>
      </c>
    </row>
    <row r="17" spans="1:25" x14ac:dyDescent="0.3">
      <c r="A17" s="10">
        <v>45</v>
      </c>
      <c r="B17" s="84">
        <f t="shared" si="19"/>
        <v>27.033207638501036</v>
      </c>
      <c r="C17" s="85">
        <f t="shared" si="0"/>
        <v>7.098792361498969</v>
      </c>
      <c r="D17" s="84">
        <f t="shared" si="20"/>
        <v>24.558261740953611</v>
      </c>
      <c r="E17" s="85">
        <f t="shared" si="1"/>
        <v>9.5737382590463938</v>
      </c>
      <c r="F17" s="84">
        <f t="shared" si="21"/>
        <v>29.508153536048457</v>
      </c>
      <c r="G17" s="85">
        <f t="shared" si="2"/>
        <v>4.6238464639515477</v>
      </c>
      <c r="H17" s="12">
        <v>7.7805235097712639</v>
      </c>
      <c r="I17" s="93">
        <f t="shared" si="3"/>
        <v>20.798055670628642</v>
      </c>
      <c r="J17" s="93">
        <f t="shared" si="4"/>
        <v>28.049156975994354</v>
      </c>
      <c r="K17" s="93">
        <f t="shared" si="5"/>
        <v>13.546954365262941</v>
      </c>
      <c r="L17" s="93">
        <f t="shared" si="6"/>
        <v>22.795392915068742</v>
      </c>
      <c r="N17" s="9">
        <f t="shared" si="13"/>
        <v>8.5067274254286147</v>
      </c>
      <c r="O17" s="9">
        <f t="shared" si="7"/>
        <v>1.1532725745713854</v>
      </c>
      <c r="P17" s="9">
        <f t="shared" si="14"/>
        <v>8.1577061726232749</v>
      </c>
      <c r="Q17" s="9">
        <f t="shared" si="15"/>
        <v>1.5022938273767252</v>
      </c>
      <c r="R17" s="9">
        <f t="shared" si="16"/>
        <v>8.8557486782339385</v>
      </c>
      <c r="S17" s="9">
        <f t="shared" si="8"/>
        <v>0.80425132176606162</v>
      </c>
      <c r="T17">
        <v>0.9581015210183117</v>
      </c>
      <c r="U17" s="93">
        <f t="shared" si="9"/>
        <v>11.938639488316619</v>
      </c>
      <c r="V17" s="93">
        <f t="shared" si="10"/>
        <v>15.551695935576866</v>
      </c>
      <c r="W17" s="93">
        <f t="shared" si="11"/>
        <v>8.3255830410565377</v>
      </c>
      <c r="X17" s="93">
        <f t="shared" si="12"/>
        <v>9.9182352072288982</v>
      </c>
    </row>
    <row r="18" spans="1:25" x14ac:dyDescent="0.3">
      <c r="A18" s="10">
        <v>50</v>
      </c>
      <c r="B18" s="84">
        <f t="shared" si="19"/>
        <v>26.509540545663175</v>
      </c>
      <c r="C18" s="85">
        <f t="shared" si="0"/>
        <v>7.6224594543368305</v>
      </c>
      <c r="D18" s="84">
        <f>D17-(($F$1+$F$2)*5)</f>
        <v>23.890527715222532</v>
      </c>
      <c r="E18" s="85">
        <f t="shared" si="1"/>
        <v>10.241472284777473</v>
      </c>
      <c r="F18" s="84">
        <f>F17-(($F$1-$F$2)*5)</f>
        <v>29.128553376103813</v>
      </c>
      <c r="G18" s="85">
        <f t="shared" si="2"/>
        <v>5.0034466238961919</v>
      </c>
      <c r="H18" s="12">
        <v>8.0926480415315485</v>
      </c>
      <c r="I18" s="93">
        <f t="shared" si="3"/>
        <v>22.332296537960943</v>
      </c>
      <c r="J18" s="93">
        <f t="shared" si="4"/>
        <v>30.005485423583359</v>
      </c>
      <c r="K18" s="93">
        <f t="shared" si="5"/>
        <v>14.659107652338543</v>
      </c>
      <c r="L18" s="93">
        <f t="shared" si="6"/>
        <v>23.709855975423494</v>
      </c>
      <c r="N18" s="9">
        <f t="shared" si="13"/>
        <v>8.3785860282540163</v>
      </c>
      <c r="O18" s="9">
        <f t="shared" si="7"/>
        <v>1.2814139717459838</v>
      </c>
      <c r="P18" s="9">
        <f t="shared" si="14"/>
        <v>7.9907846362480832</v>
      </c>
      <c r="Q18" s="9">
        <f t="shared" si="15"/>
        <v>1.6692153637519169</v>
      </c>
      <c r="R18" s="9">
        <f t="shared" si="16"/>
        <v>8.7663874202599317</v>
      </c>
      <c r="S18" s="9">
        <f t="shared" si="8"/>
        <v>0.89361257974006847</v>
      </c>
      <c r="T18">
        <v>1.0708861980942346</v>
      </c>
      <c r="U18" s="93">
        <f t="shared" si="9"/>
        <v>13.265154987018466</v>
      </c>
      <c r="V18" s="93">
        <f t="shared" si="10"/>
        <v>17.279662150640963</v>
      </c>
      <c r="W18" s="93">
        <f t="shared" si="11"/>
        <v>9.2506478233961538</v>
      </c>
      <c r="X18" s="93">
        <f t="shared" si="12"/>
        <v>11.085778448180482</v>
      </c>
    </row>
    <row r="19" spans="1:25" x14ac:dyDescent="0.3">
      <c r="A19" s="51">
        <v>60</v>
      </c>
      <c r="B19" s="82">
        <f>B18-$G$1*(A19-A18)</f>
        <v>25.942851582408466</v>
      </c>
      <c r="C19" s="83">
        <f t="shared" si="0"/>
        <v>8.1891484175915394</v>
      </c>
      <c r="D19" s="82">
        <f>D18-(($G$1+$G$2)*10)</f>
        <v>23.068292639066524</v>
      </c>
      <c r="E19" s="83">
        <f t="shared" si="1"/>
        <v>11.063707360933481</v>
      </c>
      <c r="F19" s="82">
        <f>F18-(($G$1-$G$2)*5)</f>
        <v>28.97298195092711</v>
      </c>
      <c r="G19" s="83">
        <f t="shared" si="2"/>
        <v>5.1590180490728947</v>
      </c>
      <c r="H19" s="51">
        <v>8.3813741041603524</v>
      </c>
      <c r="I19" s="93">
        <f t="shared" si="3"/>
        <v>23.992582964934776</v>
      </c>
      <c r="J19" s="93">
        <f t="shared" si="4"/>
        <v>32.414471349271885</v>
      </c>
      <c r="K19" s="93">
        <f t="shared" si="5"/>
        <v>15.114901116468106</v>
      </c>
      <c r="L19" s="93">
        <f t="shared" si="6"/>
        <v>24.555766155397723</v>
      </c>
      <c r="N19" s="43">
        <f>N18-$N$1*10</f>
        <v>8.1223032339048178</v>
      </c>
      <c r="O19" s="43">
        <f t="shared" si="7"/>
        <v>1.5376967660951824</v>
      </c>
      <c r="P19" s="43">
        <f>P18-(($O$1+$O$2)*10)</f>
        <v>7.7944308720948881</v>
      </c>
      <c r="Q19" s="43">
        <f t="shared" si="15"/>
        <v>1.8655691279051121</v>
      </c>
      <c r="R19" s="43">
        <f>R18-(($O$1-$O$2)*10)</f>
        <v>8.6860363441743313</v>
      </c>
      <c r="S19" s="43">
        <f t="shared" si="8"/>
        <v>0.97396365582566879</v>
      </c>
      <c r="T19" s="52">
        <v>1.2414330983213024</v>
      </c>
      <c r="U19" s="93">
        <f t="shared" si="9"/>
        <v>15.918185984422177</v>
      </c>
      <c r="V19" s="93">
        <f t="shared" si="10"/>
        <v>19.312309812682319</v>
      </c>
      <c r="W19" s="93">
        <f t="shared" si="11"/>
        <v>10.08243950130092</v>
      </c>
      <c r="X19" s="93">
        <f t="shared" si="12"/>
        <v>12.851274309744332</v>
      </c>
    </row>
    <row r="20" spans="1:25" x14ac:dyDescent="0.3">
      <c r="A20" s="49">
        <v>70</v>
      </c>
      <c r="B20" s="84">
        <f t="shared" ref="B20:B22" si="22">B19-$G$1*(A20-A19)</f>
        <v>25.376162619153757</v>
      </c>
      <c r="C20" s="85">
        <f t="shared" si="0"/>
        <v>8.7558373808462484</v>
      </c>
      <c r="D20" s="84">
        <f t="shared" ref="D20:D22" si="23">D19-(($G$1+$G$2)*10)</f>
        <v>22.246057562910515</v>
      </c>
      <c r="E20" s="85">
        <f t="shared" si="1"/>
        <v>11.88594243708949</v>
      </c>
      <c r="F20" s="84">
        <f t="shared" ref="F20:F22" si="24">F19-(($G$1-$G$2)*5)</f>
        <v>28.817410525750407</v>
      </c>
      <c r="G20" s="85">
        <f t="shared" si="2"/>
        <v>5.3145894742495976</v>
      </c>
      <c r="H20" s="49">
        <v>8.9405500429947047</v>
      </c>
      <c r="I20" s="93">
        <f t="shared" si="3"/>
        <v>25.652869391908613</v>
      </c>
      <c r="J20" s="93">
        <f t="shared" si="4"/>
        <v>34.823457274960418</v>
      </c>
      <c r="K20" s="93">
        <f t="shared" si="5"/>
        <v>15.570694580597671</v>
      </c>
      <c r="L20" s="93">
        <f t="shared" si="6"/>
        <v>26.194040908809047</v>
      </c>
      <c r="N20" s="4">
        <f t="shared" ref="N20:N23" si="25">N19-$N$1*10</f>
        <v>7.8660204395556192</v>
      </c>
      <c r="O20" s="4">
        <f t="shared" si="7"/>
        <v>1.7939795604443809</v>
      </c>
      <c r="P20" s="4">
        <f t="shared" ref="P20:P23" si="26">P19-(($O$1+$O$2)*10)</f>
        <v>7.5980771079416929</v>
      </c>
      <c r="Q20" s="4">
        <f t="shared" si="15"/>
        <v>2.0619228920583073</v>
      </c>
      <c r="R20" s="4">
        <f t="shared" ref="R20:R23" si="27">R19-(($O$1-$O$2)*10)</f>
        <v>8.605685268088731</v>
      </c>
      <c r="S20" s="4">
        <f t="shared" si="8"/>
        <v>1.0543147319112691</v>
      </c>
      <c r="T20" s="50">
        <v>1.4469776865380579</v>
      </c>
      <c r="U20" s="93">
        <f t="shared" si="9"/>
        <v>18.571216981825891</v>
      </c>
      <c r="V20" s="93">
        <f t="shared" si="10"/>
        <v>21.344957474723678</v>
      </c>
      <c r="W20" s="93">
        <f t="shared" si="11"/>
        <v>10.914231179205684</v>
      </c>
      <c r="X20" s="93">
        <f t="shared" si="12"/>
        <v>14.979065078033724</v>
      </c>
    </row>
    <row r="21" spans="1:25" x14ac:dyDescent="0.3">
      <c r="A21" s="49">
        <v>80</v>
      </c>
      <c r="B21" s="84">
        <f t="shared" si="22"/>
        <v>24.809473655899048</v>
      </c>
      <c r="C21" s="85">
        <f t="shared" si="0"/>
        <v>9.3225263441009574</v>
      </c>
      <c r="D21" s="84">
        <f t="shared" si="23"/>
        <v>21.423822486754506</v>
      </c>
      <c r="E21" s="85">
        <f t="shared" si="1"/>
        <v>12.708177513245499</v>
      </c>
      <c r="F21" s="84">
        <f t="shared" si="24"/>
        <v>28.661839100573705</v>
      </c>
      <c r="G21" s="85">
        <f t="shared" si="2"/>
        <v>5.4701608994263005</v>
      </c>
      <c r="H21" s="49">
        <v>10.217433706813159</v>
      </c>
      <c r="I21" s="93">
        <f t="shared" si="3"/>
        <v>27.313155818882446</v>
      </c>
      <c r="J21" s="93">
        <f t="shared" si="4"/>
        <v>37.232443200648937</v>
      </c>
      <c r="K21" s="93">
        <f t="shared" si="5"/>
        <v>16.026488044727234</v>
      </c>
      <c r="L21" s="93">
        <f t="shared" si="6"/>
        <v>29.935057151099137</v>
      </c>
      <c r="N21" s="4">
        <f t="shared" si="25"/>
        <v>7.6097376452064207</v>
      </c>
      <c r="O21" s="4">
        <f t="shared" si="7"/>
        <v>2.0502623547935794</v>
      </c>
      <c r="P21" s="4">
        <f t="shared" si="26"/>
        <v>7.4017233437884977</v>
      </c>
      <c r="Q21" s="4">
        <f t="shared" si="15"/>
        <v>2.2582766562115024</v>
      </c>
      <c r="R21" s="4">
        <f t="shared" si="27"/>
        <v>8.5253341920031307</v>
      </c>
      <c r="S21" s="4">
        <f t="shared" si="8"/>
        <v>1.1346658079968694</v>
      </c>
      <c r="T21" s="50">
        <v>1.7065610080314875</v>
      </c>
      <c r="U21" s="93">
        <f t="shared" si="9"/>
        <v>21.224247979229602</v>
      </c>
      <c r="V21" s="93">
        <f t="shared" si="10"/>
        <v>23.377605136765034</v>
      </c>
      <c r="W21" s="93">
        <f t="shared" si="11"/>
        <v>11.746022857110448</v>
      </c>
      <c r="X21" s="93">
        <f t="shared" si="12"/>
        <v>17.666263023100285</v>
      </c>
    </row>
    <row r="22" spans="1:25" x14ac:dyDescent="0.3">
      <c r="A22" s="49">
        <v>90</v>
      </c>
      <c r="B22" s="84">
        <f t="shared" si="22"/>
        <v>24.242784692644339</v>
      </c>
      <c r="C22" s="85">
        <f t="shared" si="0"/>
        <v>9.8892153073556663</v>
      </c>
      <c r="D22" s="84">
        <f t="shared" si="23"/>
        <v>20.601587410598498</v>
      </c>
      <c r="E22" s="85">
        <f t="shared" si="1"/>
        <v>13.530412589401507</v>
      </c>
      <c r="F22" s="84">
        <f t="shared" si="24"/>
        <v>28.506267675397002</v>
      </c>
      <c r="G22" s="85">
        <f t="shared" si="2"/>
        <v>5.6257323246030033</v>
      </c>
      <c r="H22" s="49">
        <v>11.022603346618645</v>
      </c>
      <c r="I22" s="93">
        <f t="shared" si="3"/>
        <v>28.97344224585628</v>
      </c>
      <c r="J22" s="93">
        <f t="shared" si="4"/>
        <v>39.641429126337471</v>
      </c>
      <c r="K22" s="93">
        <f t="shared" si="5"/>
        <v>16.482281508856801</v>
      </c>
      <c r="L22" s="93">
        <f t="shared" si="6"/>
        <v>32.294044728169006</v>
      </c>
      <c r="N22" s="4">
        <f t="shared" si="25"/>
        <v>7.3534548508572222</v>
      </c>
      <c r="O22" s="4">
        <f t="shared" si="7"/>
        <v>2.306545149142778</v>
      </c>
      <c r="P22" s="4">
        <f t="shared" si="26"/>
        <v>7.2053695796353026</v>
      </c>
      <c r="Q22" s="4">
        <f t="shared" si="15"/>
        <v>2.4546304203646976</v>
      </c>
      <c r="R22" s="4">
        <f t="shared" si="27"/>
        <v>8.4449831159175304</v>
      </c>
      <c r="S22" s="4">
        <f t="shared" si="8"/>
        <v>1.2150168840824698</v>
      </c>
      <c r="T22" s="50">
        <v>1.8573677317191311</v>
      </c>
      <c r="U22" s="93">
        <f t="shared" si="9"/>
        <v>23.877278976633313</v>
      </c>
      <c r="V22" s="93">
        <f t="shared" si="10"/>
        <v>25.41025279880639</v>
      </c>
      <c r="W22" s="93">
        <f t="shared" si="11"/>
        <v>12.577814535015214</v>
      </c>
      <c r="X22" s="93">
        <f t="shared" si="12"/>
        <v>19.227409231046906</v>
      </c>
    </row>
    <row r="23" spans="1:25" x14ac:dyDescent="0.3">
      <c r="A23" s="40">
        <v>100</v>
      </c>
      <c r="B23" s="86">
        <f>B22-$G$1*(A23-A22)</f>
        <v>23.67609572938963</v>
      </c>
      <c r="C23" s="87">
        <f t="shared" si="0"/>
        <v>10.455904270610375</v>
      </c>
      <c r="D23" s="86">
        <f>D22-(($G$1+$G$2)*10)</f>
        <v>19.779352334442489</v>
      </c>
      <c r="E23" s="87">
        <f t="shared" si="1"/>
        <v>14.352647665557516</v>
      </c>
      <c r="F23" s="86">
        <f>F22-(($G$1-$G$2)*5)</f>
        <v>28.350696250220299</v>
      </c>
      <c r="G23" s="87">
        <f t="shared" si="2"/>
        <v>5.7813037497797062</v>
      </c>
      <c r="H23" s="40">
        <v>12.748078361374523</v>
      </c>
      <c r="I23" s="93">
        <f t="shared" si="3"/>
        <v>30.633728672830117</v>
      </c>
      <c r="J23" s="93">
        <f t="shared" si="4"/>
        <v>42.050415052025997</v>
      </c>
      <c r="K23" s="93">
        <f t="shared" si="5"/>
        <v>16.938074972986364</v>
      </c>
      <c r="L23" s="93">
        <f t="shared" si="6"/>
        <v>37.34934478312001</v>
      </c>
      <c r="N23" s="41">
        <f t="shared" si="25"/>
        <v>7.0971720565080236</v>
      </c>
      <c r="O23" s="41">
        <f t="shared" si="7"/>
        <v>2.5628279434919765</v>
      </c>
      <c r="P23" s="41">
        <f t="shared" si="26"/>
        <v>7.0090158154821074</v>
      </c>
      <c r="Q23" s="41">
        <f t="shared" si="15"/>
        <v>2.6509841845178927</v>
      </c>
      <c r="R23" s="41">
        <f t="shared" si="27"/>
        <v>8.36463203983193</v>
      </c>
      <c r="S23" s="41">
        <f t="shared" si="8"/>
        <v>1.2953679601680701</v>
      </c>
      <c r="T23" s="42">
        <v>2.1917205703253115</v>
      </c>
      <c r="U23" s="93">
        <f t="shared" si="9"/>
        <v>26.530309974037024</v>
      </c>
      <c r="V23" s="93">
        <f t="shared" si="10"/>
        <v>27.442900460847749</v>
      </c>
      <c r="W23" s="93">
        <f t="shared" si="11"/>
        <v>13.40960621291998</v>
      </c>
      <c r="X23" s="93">
        <f t="shared" si="12"/>
        <v>22.688618740427653</v>
      </c>
    </row>
    <row r="24" spans="1:25" x14ac:dyDescent="0.3">
      <c r="A24" s="88">
        <v>893</v>
      </c>
      <c r="B24" s="86"/>
      <c r="C24" s="87"/>
      <c r="D24" s="86"/>
      <c r="E24" s="87"/>
      <c r="F24" s="86">
        <f>F23-(($G$1-$G$2)*(893-100))</f>
        <v>3.6770682171950426</v>
      </c>
      <c r="G24" s="87">
        <f>$F$8-F24</f>
        <v>30.454931782804962</v>
      </c>
    </row>
    <row r="25" spans="1:25" x14ac:dyDescent="0.3">
      <c r="A25" s="88">
        <v>340</v>
      </c>
      <c r="B25" s="86"/>
      <c r="C25" s="87"/>
      <c r="D25" s="86">
        <f>D23-(($G$1+$G$2)*(A25-A23))</f>
        <v>4.5710506698277698E-2</v>
      </c>
      <c r="E25" s="87">
        <f>$D$8-D25</f>
        <v>34.086289493301727</v>
      </c>
    </row>
    <row r="26" spans="1:25" x14ac:dyDescent="0.3">
      <c r="A26">
        <v>517</v>
      </c>
      <c r="B26" s="9">
        <f>B23-(($G$1)*(A26-A23))</f>
        <v>4.5165961668288901E-2</v>
      </c>
      <c r="C26">
        <f>C23-(($G$1-$G$2)*B26)</f>
        <v>10.454498964005133</v>
      </c>
    </row>
    <row r="29" spans="1:25" x14ac:dyDescent="0.3">
      <c r="O29" s="96" t="s">
        <v>75</v>
      </c>
    </row>
    <row r="30" spans="1:25" x14ac:dyDescent="0.3">
      <c r="O30" s="119" t="s">
        <v>22</v>
      </c>
      <c r="P30" s="120"/>
      <c r="Q30" s="120"/>
      <c r="R30" s="120"/>
      <c r="S30" s="120"/>
      <c r="T30" s="121"/>
      <c r="U30" s="37"/>
      <c r="V30" s="125" t="s">
        <v>76</v>
      </c>
      <c r="W30" s="125"/>
      <c r="X30" s="125"/>
      <c r="Y30" s="125"/>
    </row>
    <row r="31" spans="1:25" x14ac:dyDescent="0.3">
      <c r="B31" s="119" t="s">
        <v>13</v>
      </c>
      <c r="C31" s="120"/>
      <c r="D31" s="120"/>
      <c r="E31" s="120"/>
      <c r="F31" s="120"/>
      <c r="G31" s="121"/>
      <c r="I31" s="122" t="s">
        <v>13</v>
      </c>
      <c r="J31" s="122"/>
      <c r="K31" s="122"/>
      <c r="L31" s="122"/>
      <c r="N31" t="s">
        <v>5</v>
      </c>
      <c r="O31" s="113" t="s">
        <v>69</v>
      </c>
      <c r="P31" s="115"/>
      <c r="Q31" s="113" t="s">
        <v>70</v>
      </c>
      <c r="R31" s="115"/>
      <c r="S31" s="113" t="s">
        <v>71</v>
      </c>
      <c r="T31" s="115"/>
      <c r="U31" t="s">
        <v>72</v>
      </c>
      <c r="V31" s="6" t="s">
        <v>74</v>
      </c>
      <c r="W31" s="7"/>
      <c r="X31" s="7"/>
      <c r="Y31" s="8"/>
    </row>
    <row r="32" spans="1:25" x14ac:dyDescent="0.3">
      <c r="A32" t="s">
        <v>5</v>
      </c>
      <c r="B32" s="113" t="s">
        <v>69</v>
      </c>
      <c r="C32" s="115"/>
      <c r="D32" s="113" t="s">
        <v>70</v>
      </c>
      <c r="E32" s="115"/>
      <c r="F32" s="113" t="s">
        <v>71</v>
      </c>
      <c r="G32" s="115"/>
      <c r="H32" t="s">
        <v>72</v>
      </c>
      <c r="I32" s="6" t="s">
        <v>74</v>
      </c>
      <c r="J32" s="7"/>
      <c r="K32" s="7"/>
      <c r="L32" s="8"/>
      <c r="N32" t="s">
        <v>65</v>
      </c>
      <c r="O32" s="80" t="s">
        <v>66</v>
      </c>
      <c r="P32" s="81" t="s">
        <v>68</v>
      </c>
      <c r="Q32" s="80" t="s">
        <v>66</v>
      </c>
      <c r="R32" s="81" t="s">
        <v>68</v>
      </c>
      <c r="S32" s="80" t="s">
        <v>66</v>
      </c>
      <c r="T32" s="81" t="s">
        <v>68</v>
      </c>
      <c r="V32" s="90" t="s">
        <v>69</v>
      </c>
      <c r="W32" s="91" t="s">
        <v>70</v>
      </c>
      <c r="X32" s="90" t="s">
        <v>71</v>
      </c>
      <c r="Y32" s="91" t="s">
        <v>72</v>
      </c>
    </row>
    <row r="33" spans="1:25" x14ac:dyDescent="0.3">
      <c r="A33" t="s">
        <v>65</v>
      </c>
      <c r="B33" s="18"/>
      <c r="C33" s="19"/>
      <c r="D33" s="19"/>
      <c r="E33" s="19"/>
      <c r="F33" s="19"/>
      <c r="G33" s="19"/>
      <c r="H33" s="20"/>
      <c r="I33" s="90" t="s">
        <v>69</v>
      </c>
      <c r="J33" s="91" t="s">
        <v>70</v>
      </c>
      <c r="K33" s="90" t="s">
        <v>71</v>
      </c>
      <c r="L33" s="91" t="s">
        <v>72</v>
      </c>
      <c r="N33" s="18">
        <v>0</v>
      </c>
      <c r="O33" s="82">
        <f>C1</f>
        <v>64.400000000000006</v>
      </c>
      <c r="P33" s="83">
        <f>$C$1-O33</f>
        <v>0</v>
      </c>
      <c r="Q33" s="83">
        <f>C1</f>
        <v>64.400000000000006</v>
      </c>
      <c r="R33" s="3">
        <f>$Q$33-Q33</f>
        <v>0</v>
      </c>
      <c r="S33" s="82">
        <f>P26*0.53</f>
        <v>0</v>
      </c>
      <c r="T33" s="83">
        <f>$C$1-S33</f>
        <v>64.400000000000006</v>
      </c>
      <c r="U33" s="19">
        <v>0</v>
      </c>
      <c r="V33" s="93">
        <f>P33*100/$C$1</f>
        <v>0</v>
      </c>
      <c r="W33" s="93">
        <f>R33*100/$C$1</f>
        <v>0</v>
      </c>
      <c r="X33" s="93">
        <f>S33*100/$C$1</f>
        <v>0</v>
      </c>
      <c r="Y33" s="93">
        <f>U33*100/$C$1</f>
        <v>0</v>
      </c>
    </row>
    <row r="34" spans="1:25" x14ac:dyDescent="0.3">
      <c r="A34" s="18">
        <v>0</v>
      </c>
      <c r="B34" s="49">
        <f>C1*0.32</f>
        <v>20.608000000000001</v>
      </c>
      <c r="C34" s="4">
        <f t="shared" ref="C34:C49" si="28">$B$34-B34</f>
        <v>0</v>
      </c>
      <c r="D34" s="13">
        <f>C1*0.32</f>
        <v>20.608000000000001</v>
      </c>
      <c r="E34" s="13">
        <f t="shared" ref="E34:E49" si="29">$D$34-D34</f>
        <v>0</v>
      </c>
      <c r="F34" s="4">
        <f>C1*0.32</f>
        <v>20.608000000000001</v>
      </c>
      <c r="G34" s="13">
        <f t="shared" ref="G34:G49" si="30">$F$34-F34</f>
        <v>0</v>
      </c>
      <c r="H34" s="14">
        <v>0</v>
      </c>
      <c r="I34" s="93">
        <f>C34*100/$G$3</f>
        <v>0</v>
      </c>
      <c r="J34" s="94">
        <f>E34*100/$G$3</f>
        <v>0</v>
      </c>
      <c r="K34" s="94">
        <f>G34*100/$G$3</f>
        <v>0</v>
      </c>
      <c r="L34" s="95">
        <f>H34*100/$G$3</f>
        <v>0</v>
      </c>
      <c r="N34" s="10">
        <v>5</v>
      </c>
      <c r="O34" s="84">
        <f>B9+N9+B35</f>
        <v>62.671080409486663</v>
      </c>
      <c r="P34" s="83">
        <f t="shared" ref="P34:P48" si="31">$C$1-O34</f>
        <v>1.7289195905133425</v>
      </c>
      <c r="Q34" s="84">
        <f t="shared" ref="Q34:Q48" si="32">D9+P9+D35</f>
        <v>61.997651127458724</v>
      </c>
      <c r="R34" s="3">
        <f t="shared" ref="R34:R48" si="33">$Q$33-Q34</f>
        <v>2.4023488725412818</v>
      </c>
      <c r="S34" s="84">
        <f t="shared" ref="S34:S48" si="34">F9+R9+F35</f>
        <v>63.344509691514602</v>
      </c>
      <c r="T34" s="83">
        <f t="shared" ref="T34:T48" si="35">$C$1-S34</f>
        <v>1.0554903084854033</v>
      </c>
      <c r="U34" s="13">
        <v>1.4913867858502321</v>
      </c>
      <c r="V34" s="93">
        <f t="shared" ref="V34:V48" si="36">P34*100/$C$1</f>
        <v>2.6846577492443204</v>
      </c>
      <c r="W34" s="93">
        <f t="shared" ref="W34:W48" si="37">R34*100/$C$1</f>
        <v>3.7303553921448471</v>
      </c>
      <c r="X34" s="93">
        <f t="shared" ref="X34:X48" si="38">T34*100/$C$1</f>
        <v>1.6389601063437937</v>
      </c>
      <c r="Y34" s="93">
        <f t="shared" ref="Y34:Y48" si="39">U34*100/$C$1</f>
        <v>2.3158179904506708</v>
      </c>
    </row>
    <row r="35" spans="1:25" x14ac:dyDescent="0.3">
      <c r="A35" s="10">
        <v>5</v>
      </c>
      <c r="B35" s="49">
        <f>$B$34-$I$1*5</f>
        <v>20.326151741485191</v>
      </c>
      <c r="C35" s="4">
        <f t="shared" si="28"/>
        <v>0.28184825851480966</v>
      </c>
      <c r="D35" s="13">
        <f>$B$34-(($I$1+$I$2)*5)</f>
        <v>20.228350698720547</v>
      </c>
      <c r="E35" s="13">
        <f t="shared" si="29"/>
        <v>0.37964930127945351</v>
      </c>
      <c r="F35" s="4">
        <f>F34-(($I$1-$I$2)*5)</f>
        <v>20.423952784249838</v>
      </c>
      <c r="G35" s="13">
        <f t="shared" si="30"/>
        <v>0.18404721575016225</v>
      </c>
      <c r="H35" s="14">
        <v>0.24541429794284136</v>
      </c>
      <c r="I35" s="93">
        <f t="shared" ref="I35:I49" si="40">C35*100/$G$3</f>
        <v>1.3676642979173605</v>
      </c>
      <c r="J35" s="94">
        <f t="shared" ref="J35:J49" si="41">E35*100/$G$3</f>
        <v>1.8422423392830625</v>
      </c>
      <c r="K35" s="94">
        <f t="shared" ref="K35:K49" si="42">G35*100/$G$3</f>
        <v>0.89308625655164131</v>
      </c>
      <c r="L35" s="95">
        <f t="shared" ref="L35:L49" si="43">H35*100/$G$3</f>
        <v>1.1908690699866138</v>
      </c>
      <c r="N35" s="10">
        <v>10</v>
      </c>
      <c r="O35" s="84">
        <f t="shared" ref="O35:O48" si="44">B10+N10+B36</f>
        <v>60.942160818973321</v>
      </c>
      <c r="P35" s="83">
        <f t="shared" si="31"/>
        <v>3.4578391810266851</v>
      </c>
      <c r="Q35" s="84">
        <f t="shared" si="32"/>
        <v>59.595302254917428</v>
      </c>
      <c r="R35" s="3">
        <f t="shared" si="33"/>
        <v>4.8046977450825779</v>
      </c>
      <c r="S35" s="84">
        <f t="shared" si="34"/>
        <v>62.289019383029213</v>
      </c>
      <c r="T35" s="83">
        <f t="shared" si="35"/>
        <v>2.1109806169707923</v>
      </c>
      <c r="U35" s="13">
        <v>2.7194045001885359</v>
      </c>
      <c r="V35" s="93">
        <f t="shared" si="36"/>
        <v>5.3693154984886409</v>
      </c>
      <c r="W35" s="93">
        <f t="shared" si="37"/>
        <v>7.4607107842897165</v>
      </c>
      <c r="X35" s="93">
        <f t="shared" si="38"/>
        <v>3.2779202126875653</v>
      </c>
      <c r="Y35" s="93">
        <f t="shared" si="39"/>
        <v>4.222677795323813</v>
      </c>
    </row>
    <row r="36" spans="1:25" x14ac:dyDescent="0.3">
      <c r="A36" s="10">
        <v>10</v>
      </c>
      <c r="B36" s="49">
        <f t="shared" ref="B36:B44" si="45">$B35-$I$1*5</f>
        <v>20.044303482970381</v>
      </c>
      <c r="C36" s="4">
        <f t="shared" si="28"/>
        <v>0.56369651702961932</v>
      </c>
      <c r="D36" s="13">
        <f>D35-(($I$1+$I$2)*5)</f>
        <v>19.848701397441094</v>
      </c>
      <c r="E36" s="13">
        <f t="shared" si="29"/>
        <v>0.75929860255890702</v>
      </c>
      <c r="F36" s="4">
        <f t="shared" ref="F36:F43" si="46">F35-(($I$1-$I$2)*5)</f>
        <v>20.239905568499676</v>
      </c>
      <c r="G36" s="13">
        <f t="shared" si="30"/>
        <v>0.3680944315003245</v>
      </c>
      <c r="H36" s="14">
        <v>0.50830104721800362</v>
      </c>
      <c r="I36" s="93">
        <f t="shared" si="40"/>
        <v>2.7353285958347211</v>
      </c>
      <c r="J36" s="94">
        <f t="shared" si="41"/>
        <v>3.6844846785661249</v>
      </c>
      <c r="K36" s="94">
        <f t="shared" si="42"/>
        <v>1.7861725131032826</v>
      </c>
      <c r="L36" s="95">
        <f t="shared" si="43"/>
        <v>2.4665229387519583</v>
      </c>
      <c r="N36" s="47">
        <v>15</v>
      </c>
      <c r="O36" s="84">
        <f t="shared" si="44"/>
        <v>59.213241228459985</v>
      </c>
      <c r="P36" s="83">
        <f t="shared" si="31"/>
        <v>5.1867587715400205</v>
      </c>
      <c r="Q36" s="84">
        <f t="shared" si="32"/>
        <v>57.192953382376153</v>
      </c>
      <c r="R36" s="3">
        <f t="shared" si="33"/>
        <v>7.2070466176238526</v>
      </c>
      <c r="S36" s="84">
        <f t="shared" si="34"/>
        <v>61.23352907454381</v>
      </c>
      <c r="T36" s="83">
        <f t="shared" si="35"/>
        <v>3.1664709254561956</v>
      </c>
      <c r="U36" s="13">
        <v>3.869320903514434</v>
      </c>
      <c r="V36" s="93">
        <f t="shared" si="36"/>
        <v>8.0539732477329498</v>
      </c>
      <c r="W36" s="93">
        <f t="shared" si="37"/>
        <v>11.191066176434553</v>
      </c>
      <c r="X36" s="93">
        <f t="shared" si="38"/>
        <v>4.9168803190313595</v>
      </c>
      <c r="Y36" s="93">
        <f t="shared" si="39"/>
        <v>6.00826227253794</v>
      </c>
    </row>
    <row r="37" spans="1:25" x14ac:dyDescent="0.3">
      <c r="A37" s="47">
        <v>15</v>
      </c>
      <c r="B37" s="49">
        <f t="shared" si="45"/>
        <v>19.762455224455572</v>
      </c>
      <c r="C37" s="4">
        <f t="shared" si="28"/>
        <v>0.84554477554442897</v>
      </c>
      <c r="D37" s="13">
        <f t="shared" ref="D37:D44" si="47">D36-(($I$1+$I$2)*5)</f>
        <v>19.46905209616164</v>
      </c>
      <c r="E37" s="13">
        <f t="shared" si="29"/>
        <v>1.1389479038383605</v>
      </c>
      <c r="F37" s="4">
        <f t="shared" si="46"/>
        <v>20.055858352749514</v>
      </c>
      <c r="G37" s="13">
        <f t="shared" si="30"/>
        <v>0.55214164725048676</v>
      </c>
      <c r="H37" s="14">
        <v>0.75224635993372913</v>
      </c>
      <c r="I37" s="93">
        <f t="shared" si="40"/>
        <v>4.1029928937520816</v>
      </c>
      <c r="J37" s="94">
        <f t="shared" si="41"/>
        <v>5.5267270178491872</v>
      </c>
      <c r="K37" s="94">
        <f t="shared" si="42"/>
        <v>2.6792587696549242</v>
      </c>
      <c r="L37" s="95">
        <f t="shared" si="43"/>
        <v>3.6502637807343223</v>
      </c>
      <c r="N37" s="10">
        <v>20</v>
      </c>
      <c r="O37" s="84">
        <f t="shared" si="44"/>
        <v>58.279584479932709</v>
      </c>
      <c r="P37" s="83">
        <f t="shared" si="31"/>
        <v>6.1204155200672972</v>
      </c>
      <c r="Q37" s="84">
        <f t="shared" si="32"/>
        <v>55.978648518990425</v>
      </c>
      <c r="R37" s="3">
        <f t="shared" si="33"/>
        <v>8.4213514810095802</v>
      </c>
      <c r="S37" s="84">
        <f t="shared" si="34"/>
        <v>60.580520440875006</v>
      </c>
      <c r="T37" s="83">
        <f t="shared" si="35"/>
        <v>3.8194795591249999</v>
      </c>
      <c r="U37" s="12">
        <v>4.7944038878755535</v>
      </c>
      <c r="V37" s="93">
        <f t="shared" si="36"/>
        <v>9.503750807557914</v>
      </c>
      <c r="W37" s="93">
        <f t="shared" si="37"/>
        <v>13.076632734486925</v>
      </c>
      <c r="X37" s="93">
        <f t="shared" si="38"/>
        <v>5.9308688806288812</v>
      </c>
      <c r="Y37" s="93">
        <f t="shared" si="39"/>
        <v>7.4447265339682493</v>
      </c>
    </row>
    <row r="38" spans="1:25" x14ac:dyDescent="0.3">
      <c r="A38" s="10">
        <v>20</v>
      </c>
      <c r="B38" s="49">
        <f t="shared" si="45"/>
        <v>19.480606965940762</v>
      </c>
      <c r="C38" s="4">
        <f t="shared" si="28"/>
        <v>1.1273930340592386</v>
      </c>
      <c r="D38" s="13">
        <f t="shared" si="47"/>
        <v>19.089402794882186</v>
      </c>
      <c r="E38" s="13">
        <f t="shared" si="29"/>
        <v>1.518597205117814</v>
      </c>
      <c r="F38" s="4">
        <f t="shared" si="46"/>
        <v>19.871811136999352</v>
      </c>
      <c r="G38" s="13">
        <f t="shared" si="30"/>
        <v>0.73618886300064901</v>
      </c>
      <c r="H38" s="14">
        <v>1.0119441950849095</v>
      </c>
      <c r="I38" s="93">
        <f t="shared" si="40"/>
        <v>5.4706571916694422</v>
      </c>
      <c r="J38" s="94">
        <f t="shared" si="41"/>
        <v>7.3689693571322499</v>
      </c>
      <c r="K38" s="94">
        <f t="shared" si="42"/>
        <v>3.5723450262065652</v>
      </c>
      <c r="L38" s="95">
        <f t="shared" si="43"/>
        <v>4.9104434932303453</v>
      </c>
      <c r="N38" s="10">
        <v>25</v>
      </c>
      <c r="O38" s="84">
        <f t="shared" si="44"/>
        <v>57.345927731405439</v>
      </c>
      <c r="P38" s="83">
        <f t="shared" si="31"/>
        <v>7.0540722685945667</v>
      </c>
      <c r="Q38" s="84">
        <f t="shared" si="32"/>
        <v>54.764343655604705</v>
      </c>
      <c r="R38" s="3">
        <f t="shared" si="33"/>
        <v>9.6356563443953007</v>
      </c>
      <c r="S38" s="84">
        <f t="shared" si="34"/>
        <v>59.927511807206187</v>
      </c>
      <c r="T38" s="83">
        <f t="shared" si="35"/>
        <v>4.4724881927938185</v>
      </c>
      <c r="U38" s="12">
        <v>5.5623420508292378</v>
      </c>
      <c r="V38" s="93">
        <f t="shared" si="36"/>
        <v>10.953528367382866</v>
      </c>
      <c r="W38" s="93">
        <f t="shared" si="37"/>
        <v>14.962199292539285</v>
      </c>
      <c r="X38" s="93">
        <f t="shared" si="38"/>
        <v>6.944857442226426</v>
      </c>
      <c r="Y38" s="93">
        <f t="shared" si="39"/>
        <v>8.6371770975609277</v>
      </c>
    </row>
    <row r="39" spans="1:25" x14ac:dyDescent="0.3">
      <c r="A39" s="10">
        <v>25</v>
      </c>
      <c r="B39" s="49">
        <f t="shared" si="45"/>
        <v>19.198758707425952</v>
      </c>
      <c r="C39" s="4">
        <f t="shared" si="28"/>
        <v>1.4092412925740483</v>
      </c>
      <c r="D39" s="13">
        <f t="shared" si="47"/>
        <v>18.709753493602733</v>
      </c>
      <c r="E39" s="13">
        <f t="shared" si="29"/>
        <v>1.8982465063972676</v>
      </c>
      <c r="F39" s="4">
        <f t="shared" si="46"/>
        <v>19.687763921249189</v>
      </c>
      <c r="G39" s="13">
        <f t="shared" si="30"/>
        <v>0.92023607875081126</v>
      </c>
      <c r="H39" s="14">
        <v>1.1794814393207234</v>
      </c>
      <c r="I39" s="93">
        <f t="shared" si="40"/>
        <v>6.8383214895868027</v>
      </c>
      <c r="J39" s="94">
        <f t="shared" si="41"/>
        <v>9.2112116964153135</v>
      </c>
      <c r="K39" s="94">
        <f t="shared" si="42"/>
        <v>4.4654312827582068</v>
      </c>
      <c r="L39" s="95">
        <f t="shared" si="43"/>
        <v>5.7234153693746279</v>
      </c>
      <c r="N39" s="10">
        <v>30</v>
      </c>
      <c r="O39" s="84">
        <f t="shared" si="44"/>
        <v>56.412270982878169</v>
      </c>
      <c r="P39" s="83">
        <f t="shared" si="31"/>
        <v>7.9877290171218363</v>
      </c>
      <c r="Q39" s="84">
        <f t="shared" si="32"/>
        <v>53.55003879221897</v>
      </c>
      <c r="R39" s="3">
        <f t="shared" si="33"/>
        <v>10.849961207781035</v>
      </c>
      <c r="S39" s="84">
        <f t="shared" si="34"/>
        <v>59.274503173537383</v>
      </c>
      <c r="T39" s="83">
        <f t="shared" si="35"/>
        <v>5.1254968264626228</v>
      </c>
      <c r="U39" s="12">
        <v>6.2286662265164345</v>
      </c>
      <c r="V39" s="93">
        <f t="shared" si="36"/>
        <v>12.403305927207819</v>
      </c>
      <c r="W39" s="93">
        <f t="shared" si="37"/>
        <v>16.847765850591667</v>
      </c>
      <c r="X39" s="93">
        <f t="shared" si="38"/>
        <v>7.9588460038239468</v>
      </c>
      <c r="Y39" s="93">
        <f t="shared" si="39"/>
        <v>9.6718419666404252</v>
      </c>
    </row>
    <row r="40" spans="1:25" x14ac:dyDescent="0.3">
      <c r="A40" s="10">
        <v>30</v>
      </c>
      <c r="B40" s="49">
        <f t="shared" si="45"/>
        <v>18.916910448911143</v>
      </c>
      <c r="C40" s="4">
        <f t="shared" si="28"/>
        <v>1.6910895510888579</v>
      </c>
      <c r="D40" s="13">
        <f t="shared" si="47"/>
        <v>18.330104192323279</v>
      </c>
      <c r="E40" s="13">
        <f t="shared" si="29"/>
        <v>2.2778958076767211</v>
      </c>
      <c r="F40" s="4">
        <f t="shared" si="46"/>
        <v>19.503716705499027</v>
      </c>
      <c r="G40" s="13">
        <f t="shared" si="30"/>
        <v>1.1042832945009735</v>
      </c>
      <c r="H40" s="14">
        <v>1.4212956709926825</v>
      </c>
      <c r="I40" s="93">
        <f t="shared" si="40"/>
        <v>8.2059857875041633</v>
      </c>
      <c r="J40" s="94">
        <f t="shared" si="41"/>
        <v>11.053454035698374</v>
      </c>
      <c r="K40" s="94">
        <f t="shared" si="42"/>
        <v>5.3585175393098483</v>
      </c>
      <c r="L40" s="95">
        <f t="shared" si="43"/>
        <v>6.8968151736834367</v>
      </c>
      <c r="N40" s="10">
        <v>35</v>
      </c>
      <c r="O40" s="84">
        <f t="shared" si="44"/>
        <v>55.478614234350907</v>
      </c>
      <c r="P40" s="83">
        <f t="shared" si="31"/>
        <v>8.9213857656490987</v>
      </c>
      <c r="Q40" s="84">
        <f t="shared" si="32"/>
        <v>52.335733928833257</v>
      </c>
      <c r="R40" s="3">
        <f t="shared" si="33"/>
        <v>12.064266071166749</v>
      </c>
      <c r="S40" s="84">
        <f t="shared" si="34"/>
        <v>58.621494539868564</v>
      </c>
      <c r="T40" s="83">
        <f t="shared" si="35"/>
        <v>5.7785054601314414</v>
      </c>
      <c r="U40" s="12">
        <v>6.9209455439991308</v>
      </c>
      <c r="V40" s="93">
        <f t="shared" si="36"/>
        <v>13.853083487032761</v>
      </c>
      <c r="W40" s="93">
        <f t="shared" si="37"/>
        <v>18.733332408644017</v>
      </c>
      <c r="X40" s="93">
        <f t="shared" si="38"/>
        <v>8.9728345654214916</v>
      </c>
      <c r="Y40" s="93">
        <f t="shared" si="39"/>
        <v>10.746809850930326</v>
      </c>
    </row>
    <row r="41" spans="1:25" x14ac:dyDescent="0.3">
      <c r="A41" s="10">
        <v>35</v>
      </c>
      <c r="B41" s="49">
        <f t="shared" si="45"/>
        <v>18.635062190396333</v>
      </c>
      <c r="C41" s="4">
        <f t="shared" si="28"/>
        <v>1.9729378096036676</v>
      </c>
      <c r="D41" s="13">
        <f t="shared" si="47"/>
        <v>17.950454891043826</v>
      </c>
      <c r="E41" s="13">
        <f t="shared" si="29"/>
        <v>2.6575451089561746</v>
      </c>
      <c r="F41" s="4">
        <f t="shared" si="46"/>
        <v>19.319669489748865</v>
      </c>
      <c r="G41" s="13">
        <f t="shared" si="30"/>
        <v>1.2883305102511358</v>
      </c>
      <c r="H41" s="14">
        <v>1.6624540791108655</v>
      </c>
      <c r="I41" s="93">
        <f t="shared" si="40"/>
        <v>9.573650085421523</v>
      </c>
      <c r="J41" s="94">
        <f t="shared" si="41"/>
        <v>12.895696374981435</v>
      </c>
      <c r="K41" s="94">
        <f t="shared" si="42"/>
        <v>6.251603795861489</v>
      </c>
      <c r="L41" s="95">
        <f t="shared" si="43"/>
        <v>8.06703260438114</v>
      </c>
      <c r="N41" s="10">
        <v>40</v>
      </c>
      <c r="O41" s="84">
        <f t="shared" si="44"/>
        <v>54.54495748582363</v>
      </c>
      <c r="P41" s="83">
        <f t="shared" si="31"/>
        <v>9.8550425141763753</v>
      </c>
      <c r="Q41" s="84">
        <f t="shared" si="32"/>
        <v>51.121429065447529</v>
      </c>
      <c r="R41" s="3">
        <f t="shared" si="33"/>
        <v>13.278570934552477</v>
      </c>
      <c r="S41" s="84">
        <f t="shared" si="34"/>
        <v>57.968485906199746</v>
      </c>
      <c r="T41" s="83">
        <f t="shared" si="35"/>
        <v>6.43151409380026</v>
      </c>
      <c r="U41" s="12">
        <v>7.4851661648147552</v>
      </c>
      <c r="V41" s="93">
        <f t="shared" si="36"/>
        <v>15.302861046857725</v>
      </c>
      <c r="W41" s="93">
        <f t="shared" si="37"/>
        <v>20.618898966696392</v>
      </c>
      <c r="X41" s="93">
        <f t="shared" si="38"/>
        <v>9.9868231270190364</v>
      </c>
      <c r="Y41" s="93">
        <f t="shared" si="39"/>
        <v>11.622928827352103</v>
      </c>
    </row>
    <row r="42" spans="1:25" x14ac:dyDescent="0.3">
      <c r="A42" s="10">
        <v>40</v>
      </c>
      <c r="B42" s="49">
        <f t="shared" si="45"/>
        <v>18.353213931881523</v>
      </c>
      <c r="C42" s="4">
        <f t="shared" si="28"/>
        <v>2.2547860681184773</v>
      </c>
      <c r="D42" s="13">
        <f t="shared" si="47"/>
        <v>17.570805589764372</v>
      </c>
      <c r="E42" s="13">
        <f t="shared" si="29"/>
        <v>3.0371944102356281</v>
      </c>
      <c r="F42" s="4">
        <f t="shared" si="46"/>
        <v>19.135622273998703</v>
      </c>
      <c r="G42" s="13">
        <f t="shared" si="30"/>
        <v>1.472377726001298</v>
      </c>
      <c r="H42" s="14">
        <v>1.8876604217865522</v>
      </c>
      <c r="I42" s="93">
        <f t="shared" si="40"/>
        <v>10.941314383338884</v>
      </c>
      <c r="J42" s="94">
        <f t="shared" si="41"/>
        <v>14.7379387142645</v>
      </c>
      <c r="K42" s="94">
        <f t="shared" si="42"/>
        <v>7.1446900524131305</v>
      </c>
      <c r="L42" s="95">
        <f t="shared" si="43"/>
        <v>9.1598428852220124</v>
      </c>
      <c r="N42" s="10">
        <v>45</v>
      </c>
      <c r="O42" s="84">
        <f t="shared" si="44"/>
        <v>53.611300737296361</v>
      </c>
      <c r="P42" s="83">
        <f t="shared" si="31"/>
        <v>10.788699262703645</v>
      </c>
      <c r="Q42" s="84">
        <f t="shared" si="32"/>
        <v>49.907124202061809</v>
      </c>
      <c r="R42" s="3">
        <f t="shared" si="33"/>
        <v>14.492875797938197</v>
      </c>
      <c r="S42" s="84">
        <f t="shared" si="34"/>
        <v>57.315477272530941</v>
      </c>
      <c r="T42" s="83">
        <f t="shared" si="35"/>
        <v>7.0845227274690643</v>
      </c>
      <c r="U42" s="12">
        <v>7.7805235097712639</v>
      </c>
      <c r="V42" s="93">
        <f t="shared" si="36"/>
        <v>16.752638606682677</v>
      </c>
      <c r="W42" s="93">
        <f t="shared" si="37"/>
        <v>22.504465524748753</v>
      </c>
      <c r="X42" s="93">
        <f t="shared" si="38"/>
        <v>11.000811688616558</v>
      </c>
      <c r="Y42" s="93">
        <f t="shared" si="39"/>
        <v>12.081558244986434</v>
      </c>
    </row>
    <row r="43" spans="1:25" x14ac:dyDescent="0.3">
      <c r="A43" s="10">
        <v>45</v>
      </c>
      <c r="B43" s="49">
        <f t="shared" si="45"/>
        <v>18.071365673366714</v>
      </c>
      <c r="C43" s="4">
        <f t="shared" si="28"/>
        <v>2.5366343266332869</v>
      </c>
      <c r="D43" s="13">
        <f t="shared" si="47"/>
        <v>17.191156288484919</v>
      </c>
      <c r="E43" s="13">
        <f t="shared" si="29"/>
        <v>3.4168437115150816</v>
      </c>
      <c r="F43" s="4">
        <f t="shared" si="46"/>
        <v>18.95157505824854</v>
      </c>
      <c r="G43" s="13">
        <f t="shared" si="30"/>
        <v>1.6564249417514603</v>
      </c>
      <c r="H43" s="14">
        <v>2.0866603996962581</v>
      </c>
      <c r="I43" s="93">
        <f t="shared" si="40"/>
        <v>12.308978681256246</v>
      </c>
      <c r="J43" s="94">
        <f t="shared" si="41"/>
        <v>16.580181053547562</v>
      </c>
      <c r="K43" s="94">
        <f t="shared" si="42"/>
        <v>8.0377763089647729</v>
      </c>
      <c r="L43" s="95">
        <f t="shared" si="43"/>
        <v>10.12548718796709</v>
      </c>
      <c r="N43" s="10">
        <v>50</v>
      </c>
      <c r="O43" s="84">
        <f t="shared" si="44"/>
        <v>52.677643988769091</v>
      </c>
      <c r="P43" s="83">
        <f t="shared" si="31"/>
        <v>11.722356011230914</v>
      </c>
      <c r="Q43" s="84">
        <f t="shared" si="32"/>
        <v>48.692819338676081</v>
      </c>
      <c r="R43" s="3">
        <f t="shared" si="33"/>
        <v>15.707180661323925</v>
      </c>
      <c r="S43" s="84">
        <f t="shared" si="34"/>
        <v>56.662468638862123</v>
      </c>
      <c r="T43" s="83">
        <f t="shared" si="35"/>
        <v>7.7375313611378829</v>
      </c>
      <c r="U43" s="12">
        <v>8.0926480415315485</v>
      </c>
      <c r="V43" s="93">
        <f t="shared" si="36"/>
        <v>18.202416166507629</v>
      </c>
      <c r="W43" s="93">
        <f t="shared" si="37"/>
        <v>24.390032082801124</v>
      </c>
      <c r="X43" s="93">
        <f t="shared" si="38"/>
        <v>12.014800250214103</v>
      </c>
      <c r="Y43" s="93">
        <f t="shared" si="39"/>
        <v>12.566223666974453</v>
      </c>
    </row>
    <row r="44" spans="1:25" x14ac:dyDescent="0.3">
      <c r="A44" s="10">
        <v>50</v>
      </c>
      <c r="B44" s="49">
        <f t="shared" si="45"/>
        <v>17.789517414851904</v>
      </c>
      <c r="C44" s="4">
        <f t="shared" si="28"/>
        <v>2.8184825851480966</v>
      </c>
      <c r="D44" s="13">
        <f t="shared" si="47"/>
        <v>16.811506987205465</v>
      </c>
      <c r="E44" s="13">
        <f t="shared" si="29"/>
        <v>3.7964930127945351</v>
      </c>
      <c r="F44" s="4">
        <f>F43-(($I$1-$I$2)*5)</f>
        <v>18.767527842498378</v>
      </c>
      <c r="G44" s="13">
        <f t="shared" si="30"/>
        <v>1.8404721575016225</v>
      </c>
      <c r="H44" s="14">
        <v>2.2626983673892029</v>
      </c>
      <c r="I44" s="93">
        <f t="shared" si="40"/>
        <v>13.676642979173605</v>
      </c>
      <c r="J44" s="94">
        <f t="shared" si="41"/>
        <v>18.422423392830627</v>
      </c>
      <c r="K44" s="94">
        <f t="shared" si="42"/>
        <v>8.9308625655164136</v>
      </c>
      <c r="L44" s="95">
        <f t="shared" si="43"/>
        <v>10.979708692688291</v>
      </c>
      <c r="N44" s="51">
        <v>60</v>
      </c>
      <c r="O44" s="84">
        <f t="shared" si="44"/>
        <v>51.522441192676794</v>
      </c>
      <c r="P44" s="83">
        <f t="shared" si="31"/>
        <v>12.877558807323211</v>
      </c>
      <c r="Q44" s="84">
        <f t="shared" si="32"/>
        <v>47.449444178491817</v>
      </c>
      <c r="R44" s="3">
        <f t="shared" si="33"/>
        <v>16.950555821508189</v>
      </c>
      <c r="S44" s="84">
        <f t="shared" si="34"/>
        <v>56.211656700373155</v>
      </c>
      <c r="T44" s="83">
        <f t="shared" si="35"/>
        <v>8.188343299626851</v>
      </c>
      <c r="U44" s="51">
        <v>8.3813741041603524</v>
      </c>
      <c r="V44" s="93">
        <f t="shared" si="36"/>
        <v>19.996209328141632</v>
      </c>
      <c r="W44" s="93">
        <f t="shared" si="37"/>
        <v>26.320738853273586</v>
      </c>
      <c r="X44" s="93">
        <f t="shared" si="38"/>
        <v>12.714818788240452</v>
      </c>
      <c r="Y44" s="93">
        <f t="shared" si="39"/>
        <v>13.014556062360795</v>
      </c>
    </row>
    <row r="45" spans="1:25" x14ac:dyDescent="0.3">
      <c r="A45" s="51">
        <v>60</v>
      </c>
      <c r="B45" s="51">
        <f>$B44-$J$1*10</f>
        <v>17.457286376363509</v>
      </c>
      <c r="C45" s="43">
        <f t="shared" si="28"/>
        <v>3.1507136236364914</v>
      </c>
      <c r="D45" s="43">
        <f>D44-(($J$1+$J$2)*5)</f>
        <v>16.586720667330404</v>
      </c>
      <c r="E45" s="43">
        <f t="shared" si="29"/>
        <v>4.0212793326695966</v>
      </c>
      <c r="F45" s="43">
        <f>F44-(($J$1-$J$2)*10)</f>
        <v>18.552638405271711</v>
      </c>
      <c r="G45" s="43">
        <f t="shared" si="30"/>
        <v>2.0553615947282893</v>
      </c>
      <c r="H45" s="52">
        <v>2.7505064353564119</v>
      </c>
      <c r="I45" s="93">
        <f t="shared" si="40"/>
        <v>15.288788934571484</v>
      </c>
      <c r="J45" s="94">
        <f t="shared" si="41"/>
        <v>19.513195519553555</v>
      </c>
      <c r="K45" s="94">
        <f t="shared" si="42"/>
        <v>9.973610222866311</v>
      </c>
      <c r="L45" s="95">
        <f t="shared" si="43"/>
        <v>13.346789767839732</v>
      </c>
      <c r="N45" s="49">
        <v>70</v>
      </c>
      <c r="O45" s="84">
        <f t="shared" si="44"/>
        <v>50.367238396584483</v>
      </c>
      <c r="P45" s="83">
        <f t="shared" si="31"/>
        <v>14.032761603415523</v>
      </c>
      <c r="Q45" s="84">
        <f t="shared" si="32"/>
        <v>46.206069018307545</v>
      </c>
      <c r="R45" s="3">
        <f t="shared" si="33"/>
        <v>18.193930981692461</v>
      </c>
      <c r="S45" s="84">
        <f t="shared" si="34"/>
        <v>55.760844761884186</v>
      </c>
      <c r="T45" s="83">
        <f t="shared" si="35"/>
        <v>8.6391552381158192</v>
      </c>
      <c r="U45" s="49">
        <v>8.9405500429947047</v>
      </c>
      <c r="V45" s="93">
        <f t="shared" si="36"/>
        <v>21.790002489775652</v>
      </c>
      <c r="W45" s="93">
        <f t="shared" si="37"/>
        <v>28.251445623746054</v>
      </c>
      <c r="X45" s="93">
        <f t="shared" si="38"/>
        <v>13.414837326266799</v>
      </c>
      <c r="Y45" s="93">
        <f t="shared" si="39"/>
        <v>13.882841681668795</v>
      </c>
    </row>
    <row r="46" spans="1:25" x14ac:dyDescent="0.3">
      <c r="A46" s="49">
        <v>70</v>
      </c>
      <c r="B46" s="49">
        <f>$B45-$J$1*10</f>
        <v>17.125055337875114</v>
      </c>
      <c r="C46" s="4">
        <f t="shared" si="28"/>
        <v>3.4829446621248863</v>
      </c>
      <c r="D46" s="4">
        <f t="shared" ref="D46:D49" si="48">D45-(($J$1+$J$2)*5)</f>
        <v>16.361934347455342</v>
      </c>
      <c r="E46" s="4">
        <f t="shared" si="29"/>
        <v>4.2460656525446581</v>
      </c>
      <c r="F46" s="4">
        <f t="shared" ref="F46:F49" si="49">F45-(($J$1-$J$2)*10)</f>
        <v>18.337748968045045</v>
      </c>
      <c r="G46" s="4">
        <f t="shared" si="30"/>
        <v>2.270251031954956</v>
      </c>
      <c r="H46" s="50">
        <v>3.1931669498188002</v>
      </c>
      <c r="I46" s="93">
        <f t="shared" si="40"/>
        <v>16.90093488996936</v>
      </c>
      <c r="J46" s="94">
        <f t="shared" si="41"/>
        <v>20.603967646276484</v>
      </c>
      <c r="K46" s="94">
        <f t="shared" si="42"/>
        <v>11.016357880216207</v>
      </c>
      <c r="L46" s="95">
        <f t="shared" si="43"/>
        <v>15.494793040657997</v>
      </c>
      <c r="N46" s="49">
        <v>80</v>
      </c>
      <c r="O46" s="84">
        <f t="shared" si="44"/>
        <v>49.212035600492186</v>
      </c>
      <c r="P46" s="83">
        <f t="shared" si="31"/>
        <v>15.18796439950782</v>
      </c>
      <c r="Q46" s="84">
        <f t="shared" si="32"/>
        <v>44.962693858123288</v>
      </c>
      <c r="R46" s="3">
        <f t="shared" si="33"/>
        <v>19.437306141876718</v>
      </c>
      <c r="S46" s="84">
        <f t="shared" si="34"/>
        <v>55.310032823395218</v>
      </c>
      <c r="T46" s="83">
        <f t="shared" si="35"/>
        <v>9.0899671766047874</v>
      </c>
      <c r="U46" s="49">
        <v>10.217433706813159</v>
      </c>
      <c r="V46" s="93">
        <f t="shared" si="36"/>
        <v>23.583795651409655</v>
      </c>
      <c r="W46" s="93">
        <f t="shared" si="37"/>
        <v>30.182152394218502</v>
      </c>
      <c r="X46" s="93">
        <f t="shared" si="38"/>
        <v>14.114855864293146</v>
      </c>
      <c r="Y46" s="93">
        <f t="shared" si="39"/>
        <v>15.865580290082544</v>
      </c>
    </row>
    <row r="47" spans="1:25" x14ac:dyDescent="0.3">
      <c r="A47" s="49">
        <v>80</v>
      </c>
      <c r="B47" s="49">
        <f>$B46-$J$1*10</f>
        <v>16.792824299386719</v>
      </c>
      <c r="C47" s="4">
        <f t="shared" si="28"/>
        <v>3.8151757006132812</v>
      </c>
      <c r="D47" s="4">
        <f t="shared" si="48"/>
        <v>16.137148027580281</v>
      </c>
      <c r="E47" s="4">
        <f t="shared" si="29"/>
        <v>4.4708519724197195</v>
      </c>
      <c r="F47" s="4">
        <f t="shared" si="49"/>
        <v>18.122859530818378</v>
      </c>
      <c r="G47" s="4">
        <f t="shared" si="30"/>
        <v>2.4851404691816228</v>
      </c>
      <c r="H47" s="50">
        <v>3.8056670152121281</v>
      </c>
      <c r="I47" s="93">
        <f t="shared" si="40"/>
        <v>18.513080845367242</v>
      </c>
      <c r="J47" s="94">
        <f t="shared" si="41"/>
        <v>21.694739772999416</v>
      </c>
      <c r="K47" s="94">
        <f t="shared" si="42"/>
        <v>12.059105537566104</v>
      </c>
      <c r="L47" s="95">
        <f t="shared" si="43"/>
        <v>18.466940097108541</v>
      </c>
      <c r="N47" s="49">
        <v>90</v>
      </c>
      <c r="O47" s="84">
        <f t="shared" si="44"/>
        <v>48.056832804399889</v>
      </c>
      <c r="P47" s="83">
        <f t="shared" si="31"/>
        <v>16.343167195600117</v>
      </c>
      <c r="Q47" s="84">
        <f t="shared" si="32"/>
        <v>43.719318697939016</v>
      </c>
      <c r="R47" s="3">
        <f t="shared" si="33"/>
        <v>20.680681302060989</v>
      </c>
      <c r="S47" s="84">
        <f t="shared" si="34"/>
        <v>54.85922088490625</v>
      </c>
      <c r="T47" s="83">
        <f t="shared" si="35"/>
        <v>9.5407791150937555</v>
      </c>
      <c r="U47" s="49">
        <v>11.022603346618645</v>
      </c>
      <c r="V47" s="93">
        <f t="shared" si="36"/>
        <v>25.377588813043658</v>
      </c>
      <c r="W47" s="93">
        <f t="shared" si="37"/>
        <v>32.112859164690974</v>
      </c>
      <c r="X47" s="93">
        <f t="shared" si="38"/>
        <v>14.814874402319495</v>
      </c>
      <c r="Y47" s="93">
        <f t="shared" si="39"/>
        <v>17.115843705929574</v>
      </c>
    </row>
    <row r="48" spans="1:25" x14ac:dyDescent="0.3">
      <c r="A48" s="49">
        <v>90</v>
      </c>
      <c r="B48" s="49">
        <f>$B47-$J$1*10</f>
        <v>16.460593260898325</v>
      </c>
      <c r="C48" s="4">
        <f t="shared" si="28"/>
        <v>4.147406739101676</v>
      </c>
      <c r="D48" s="4">
        <f t="shared" si="48"/>
        <v>15.91236170770522</v>
      </c>
      <c r="E48" s="4">
        <f t="shared" si="29"/>
        <v>4.695638292294781</v>
      </c>
      <c r="F48" s="4">
        <f t="shared" si="49"/>
        <v>17.907970093591711</v>
      </c>
      <c r="G48" s="4">
        <f t="shared" si="30"/>
        <v>2.7000299064082895</v>
      </c>
      <c r="H48" s="50">
        <v>4.1173839301118669</v>
      </c>
      <c r="I48" s="93">
        <f t="shared" si="40"/>
        <v>20.12522680076512</v>
      </c>
      <c r="J48" s="94">
        <f t="shared" si="41"/>
        <v>22.785511899722344</v>
      </c>
      <c r="K48" s="94">
        <f t="shared" si="42"/>
        <v>13.101853194916002</v>
      </c>
      <c r="L48" s="95">
        <f t="shared" si="43"/>
        <v>19.979541586334758</v>
      </c>
      <c r="N48" s="40">
        <v>100</v>
      </c>
      <c r="O48" s="84">
        <f t="shared" si="44"/>
        <v>46.901630008307578</v>
      </c>
      <c r="P48" s="83">
        <f t="shared" si="31"/>
        <v>17.498369991692428</v>
      </c>
      <c r="Q48" s="84">
        <f t="shared" si="32"/>
        <v>42.475943537754759</v>
      </c>
      <c r="R48" s="3">
        <f t="shared" si="33"/>
        <v>21.924056462245247</v>
      </c>
      <c r="S48" s="84">
        <f t="shared" si="34"/>
        <v>54.408408946417268</v>
      </c>
      <c r="T48" s="83">
        <f t="shared" si="35"/>
        <v>9.9915910535827379</v>
      </c>
      <c r="U48" s="40">
        <v>12.748078361374523</v>
      </c>
      <c r="V48" s="93">
        <f t="shared" si="36"/>
        <v>27.171381974677679</v>
      </c>
      <c r="W48" s="93">
        <f t="shared" si="37"/>
        <v>34.043565935163429</v>
      </c>
      <c r="X48" s="93">
        <f t="shared" si="38"/>
        <v>15.514892940345865</v>
      </c>
      <c r="Y48" s="93">
        <f t="shared" si="39"/>
        <v>19.795152735053605</v>
      </c>
    </row>
    <row r="49" spans="1:12" x14ac:dyDescent="0.3">
      <c r="A49" s="40">
        <v>100</v>
      </c>
      <c r="B49" s="40">
        <f>$B48-$J$1*10</f>
        <v>16.12836222240993</v>
      </c>
      <c r="C49" s="41">
        <f t="shared" si="28"/>
        <v>4.4796377775900709</v>
      </c>
      <c r="D49" s="41">
        <f t="shared" si="48"/>
        <v>15.687575387830158</v>
      </c>
      <c r="E49" s="41">
        <f t="shared" si="29"/>
        <v>4.9204246121698425</v>
      </c>
      <c r="F49" s="41">
        <f t="shared" si="49"/>
        <v>17.693080656365044</v>
      </c>
      <c r="G49" s="41">
        <f t="shared" si="30"/>
        <v>2.9149193436349563</v>
      </c>
      <c r="H49" s="42">
        <v>4.8063314114224536</v>
      </c>
      <c r="I49" s="93">
        <f t="shared" si="40"/>
        <v>21.737372756162998</v>
      </c>
      <c r="J49" s="94">
        <f t="shared" si="41"/>
        <v>23.876284026445276</v>
      </c>
      <c r="K49" s="94">
        <f t="shared" si="42"/>
        <v>14.144600852265896</v>
      </c>
      <c r="L49" s="95">
        <f t="shared" si="43"/>
        <v>23.322648541452121</v>
      </c>
    </row>
  </sheetData>
  <mergeCells count="20">
    <mergeCell ref="U5:X5"/>
    <mergeCell ref="O30:T30"/>
    <mergeCell ref="V30:Y30"/>
    <mergeCell ref="O31:P31"/>
    <mergeCell ref="Q31:R31"/>
    <mergeCell ref="S31:T31"/>
    <mergeCell ref="N5:S5"/>
    <mergeCell ref="N6:O6"/>
    <mergeCell ref="P6:Q6"/>
    <mergeCell ref="R6:S6"/>
    <mergeCell ref="I5:L5"/>
    <mergeCell ref="B6:C6"/>
    <mergeCell ref="D6:E6"/>
    <mergeCell ref="F6:G6"/>
    <mergeCell ref="B5:G5"/>
    <mergeCell ref="B31:G31"/>
    <mergeCell ref="B32:C32"/>
    <mergeCell ref="D32:E32"/>
    <mergeCell ref="F32:G32"/>
    <mergeCell ref="I31:L3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4:K14"/>
  <sheetViews>
    <sheetView workbookViewId="0">
      <selection activeCell="L24" sqref="L24"/>
    </sheetView>
  </sheetViews>
  <sheetFormatPr defaultRowHeight="14.4" x14ac:dyDescent="0.3"/>
  <cols>
    <col min="2" max="2" width="11.33203125" customWidth="1"/>
  </cols>
  <sheetData>
    <row r="4" spans="1:11" x14ac:dyDescent="0.3">
      <c r="I4" t="s">
        <v>79</v>
      </c>
    </row>
    <row r="7" spans="1:11" x14ac:dyDescent="0.3">
      <c r="F7" t="s">
        <v>78</v>
      </c>
    </row>
    <row r="8" spans="1:11" x14ac:dyDescent="0.3">
      <c r="A8" t="s">
        <v>43</v>
      </c>
      <c r="B8" t="s">
        <v>11</v>
      </c>
      <c r="C8" s="1" t="s">
        <v>12</v>
      </c>
      <c r="D8" s="1" t="s">
        <v>13</v>
      </c>
      <c r="E8" s="1" t="s">
        <v>14</v>
      </c>
      <c r="F8" s="1" t="s">
        <v>12</v>
      </c>
      <c r="G8" s="1" t="s">
        <v>13</v>
      </c>
      <c r="H8" s="1" t="s">
        <v>14</v>
      </c>
      <c r="I8" s="1" t="s">
        <v>12</v>
      </c>
      <c r="J8" s="1" t="s">
        <v>13</v>
      </c>
      <c r="K8" s="1" t="s">
        <v>14</v>
      </c>
    </row>
    <row r="9" spans="1:11" x14ac:dyDescent="0.3">
      <c r="A9">
        <v>1</v>
      </c>
      <c r="B9">
        <v>57.5</v>
      </c>
      <c r="C9">
        <f>B9*0.53</f>
        <v>30.475000000000001</v>
      </c>
      <c r="D9">
        <f>B9*0.32</f>
        <v>18.400000000000002</v>
      </c>
      <c r="E9">
        <f>B9*0.15</f>
        <v>8.625</v>
      </c>
      <c r="F9" s="22">
        <f>((C9-(B13*15)-(C13*35))/D13)</f>
        <v>403.26426006979955</v>
      </c>
      <c r="G9" s="22">
        <f>((D9-(E13*50))/F13)</f>
        <v>468.99643951828341</v>
      </c>
      <c r="H9" s="22">
        <f>((E9-(G13*50))/H13)</f>
        <v>530.78840412885495</v>
      </c>
      <c r="I9" s="22">
        <f>F9*3/100</f>
        <v>12.097927802093986</v>
      </c>
      <c r="J9" s="22">
        <f t="shared" ref="J9:K9" si="0">G9*3/100</f>
        <v>14.069893185548503</v>
      </c>
      <c r="K9" s="22">
        <f t="shared" si="0"/>
        <v>15.923652123865649</v>
      </c>
    </row>
    <row r="10" spans="1:11" x14ac:dyDescent="0.3">
      <c r="A10">
        <v>2</v>
      </c>
      <c r="B10">
        <v>34.299999999999997</v>
      </c>
      <c r="C10">
        <f t="shared" ref="C10:C11" si="1">B10*0.53</f>
        <v>18.178999999999998</v>
      </c>
      <c r="D10">
        <f t="shared" ref="D10:D11" si="2">B10*0.32</f>
        <v>10.975999999999999</v>
      </c>
      <c r="E10">
        <f t="shared" ref="E10:E11" si="3">B10*0.15</f>
        <v>5.1449999999999996</v>
      </c>
      <c r="F10" s="22">
        <f>((C10-(B13*15)-(C13*35))/D13)</f>
        <v>186.28456225850925</v>
      </c>
      <c r="G10" s="22">
        <f>((D10-(E13*50))/F13)</f>
        <v>245.53748656258838</v>
      </c>
      <c r="H10" s="22">
        <f>((E10-(G13*50))/H13)</f>
        <v>279.25684457993145</v>
      </c>
      <c r="I10" s="22">
        <f t="shared" ref="I10:I11" si="4">F10*3/100</f>
        <v>5.5885368677552778</v>
      </c>
      <c r="J10" s="22">
        <f t="shared" ref="J10:J11" si="5">G10*3/100</f>
        <v>7.3661245968776514</v>
      </c>
      <c r="K10" s="22">
        <f t="shared" ref="K10:K11" si="6">H10*3/100</f>
        <v>8.3777053373979431</v>
      </c>
    </row>
    <row r="11" spans="1:11" x14ac:dyDescent="0.3">
      <c r="A11">
        <v>3</v>
      </c>
      <c r="B11">
        <v>64.400000000000006</v>
      </c>
      <c r="C11">
        <f t="shared" si="1"/>
        <v>34.132000000000005</v>
      </c>
      <c r="D11">
        <f t="shared" si="2"/>
        <v>20.608000000000001</v>
      </c>
      <c r="E11">
        <f t="shared" si="3"/>
        <v>9.66</v>
      </c>
      <c r="F11" s="22">
        <f>((C11-(B13*15)-(C13*35))/D13)</f>
        <v>467.79701502229545</v>
      </c>
      <c r="G11" s="22">
        <f>((D11-(E13*50))/F13)</f>
        <v>535.45621431976156</v>
      </c>
      <c r="H11" s="22">
        <f>((E11-(G13*50))/H13)</f>
        <v>605.59735933952618</v>
      </c>
      <c r="I11" s="22">
        <f t="shared" si="4"/>
        <v>14.033910450668863</v>
      </c>
      <c r="J11" s="22">
        <f t="shared" si="5"/>
        <v>16.063686429592845</v>
      </c>
      <c r="K11" s="22">
        <f t="shared" si="6"/>
        <v>18.167920780185785</v>
      </c>
    </row>
    <row r="12" spans="1:11" x14ac:dyDescent="0.3">
      <c r="A12" t="s">
        <v>37</v>
      </c>
    </row>
    <row r="13" spans="1:11" x14ac:dyDescent="0.3">
      <c r="A13" t="s">
        <v>38</v>
      </c>
      <c r="B13" s="97">
        <v>0.26378598696478667</v>
      </c>
      <c r="C13" s="97">
        <v>0.10473341856757203</v>
      </c>
      <c r="D13" s="97">
        <v>5.6668896325470841E-2</v>
      </c>
      <c r="E13" s="99">
        <v>5.6369651702961689E-2</v>
      </c>
      <c r="F13" s="99">
        <v>3.322310384883953E-2</v>
      </c>
      <c r="G13" s="98">
        <v>2.562827943491983E-2</v>
      </c>
      <c r="H13" s="98">
        <v>1.3835242011939789E-2</v>
      </c>
    </row>
    <row r="14" spans="1:11" x14ac:dyDescent="0.3">
      <c r="B14" s="97">
        <v>0.10736962001254156</v>
      </c>
      <c r="C14" s="97">
        <v>2.8813386578643543E-2</v>
      </c>
      <c r="D14" s="97">
        <v>2.5554611290130039E-2</v>
      </c>
      <c r="E14" s="99">
        <v>1.9560208552929222E-2</v>
      </c>
      <c r="F14" s="99">
        <v>1.1734160126172725E-2</v>
      </c>
      <c r="G14" s="98">
        <v>7.7560278401185428E-3</v>
      </c>
      <c r="H14" s="98">
        <v>5.8001344033797074E-3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F&amp;C</vt:lpstr>
      <vt:lpstr>Sample 1</vt:lpstr>
      <vt:lpstr>Sample 2</vt:lpstr>
      <vt:lpstr>Sampe 3</vt:lpstr>
      <vt:lpstr>Average</vt:lpstr>
      <vt:lpstr>Average cum mass</vt:lpstr>
      <vt:lpstr>GS simulation</vt:lpstr>
      <vt:lpstr>mass balance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2022-07-20T10:58:53Z</dcterms:modified>
</cp:coreProperties>
</file>