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1. Lit Review/Sections/Reactor Performance/"/>
    </mc:Choice>
  </mc:AlternateContent>
  <xr:revisionPtr revIDLastSave="93" documentId="13_ncr:1_{0161C248-DB99-477A-8E9C-730F2BDDCF64}" xr6:coauthVersionLast="47" xr6:coauthVersionMax="47" xr10:uidLastSave="{EEF1E2D3-CE55-4A0F-B0D7-C2EDDE328859}"/>
  <bookViews>
    <workbookView xWindow="-120" yWindow="-120" windowWidth="25440" windowHeight="15390" activeTab="1" xr2:uid="{CC3DECD4-80D6-46EE-889E-75F17B981AA6}"/>
  </bookViews>
  <sheets>
    <sheet name="Sources" sheetId="1" r:id="rId1"/>
    <sheet name="Data" sheetId="5" r:id="rId2"/>
    <sheet name="Analysis" sheetId="3" r:id="rId3"/>
    <sheet name="Complexity" sheetId="6" r:id="rId4"/>
    <sheet name="Hydrolysis Calc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0" i="5" l="1"/>
  <c r="T9" i="5"/>
  <c r="W7" i="5"/>
  <c r="T7" i="5"/>
  <c r="U6" i="5"/>
  <c r="W6" i="5"/>
  <c r="W32" i="5"/>
  <c r="U32" i="5"/>
  <c r="T30" i="5" l="1"/>
  <c r="T31" i="5"/>
  <c r="T29" i="5"/>
  <c r="O139" i="3" l="1"/>
  <c r="S139" i="3"/>
  <c r="S137" i="3"/>
  <c r="S136" i="3"/>
  <c r="S135" i="3"/>
  <c r="O136" i="3"/>
  <c r="O137" i="3"/>
  <c r="O135" i="3"/>
  <c r="Y133" i="3"/>
  <c r="I133" i="3"/>
  <c r="Y132" i="3"/>
  <c r="I132" i="3"/>
  <c r="Y131" i="3"/>
  <c r="I131" i="3"/>
  <c r="Y130" i="3"/>
  <c r="E130" i="3"/>
  <c r="Y129" i="3"/>
  <c r="E129" i="3"/>
  <c r="Y128" i="3"/>
  <c r="E128" i="3"/>
  <c r="DF48" i="3" l="1"/>
  <c r="CZ29" i="3"/>
  <c r="G22" i="5" l="1"/>
  <c r="BJ57" i="5" l="1"/>
  <c r="BJ56" i="5"/>
  <c r="BJ54" i="5"/>
  <c r="BJ53" i="5"/>
  <c r="BJ52" i="5"/>
  <c r="AS48" i="5"/>
  <c r="AU48" i="5"/>
  <c r="AS49" i="5"/>
  <c r="AU49" i="5"/>
  <c r="AS50" i="5"/>
  <c r="AU50" i="5"/>
  <c r="AS47" i="5"/>
  <c r="AU47" i="5"/>
  <c r="AU46" i="5"/>
  <c r="AS46" i="5"/>
  <c r="AU37" i="5"/>
  <c r="AU36" i="5"/>
  <c r="AS37" i="5"/>
  <c r="AS36" i="5"/>
  <c r="AU35" i="5"/>
  <c r="AS35" i="5"/>
  <c r="AU34" i="5"/>
  <c r="AS34" i="5"/>
  <c r="AU33" i="5"/>
  <c r="AS33" i="5"/>
  <c r="AU32" i="5"/>
  <c r="AS32" i="5"/>
  <c r="AS31" i="5"/>
  <c r="AU31" i="5"/>
  <c r="AU30" i="5"/>
  <c r="AS30" i="5"/>
  <c r="AU29" i="5"/>
  <c r="AS29" i="5"/>
  <c r="AS19" i="5"/>
  <c r="AU19" i="5"/>
  <c r="AS20" i="5"/>
  <c r="AU20" i="5"/>
  <c r="AS21" i="5"/>
  <c r="AU21" i="5"/>
  <c r="AS22" i="5"/>
  <c r="AU22" i="5"/>
  <c r="AS23" i="5"/>
  <c r="AU23" i="5"/>
  <c r="AS24" i="5"/>
  <c r="AU24" i="5"/>
  <c r="AS11" i="5"/>
  <c r="AU11" i="5"/>
  <c r="AS12" i="5"/>
  <c r="AU12" i="5"/>
  <c r="AS13" i="5"/>
  <c r="AU13" i="5"/>
  <c r="AS14" i="5"/>
  <c r="AU14" i="5"/>
  <c r="AS15" i="5"/>
  <c r="AU15" i="5"/>
  <c r="AS16" i="5"/>
  <c r="AU16" i="5"/>
  <c r="AS17" i="5"/>
  <c r="AU17" i="5"/>
  <c r="AS18" i="5"/>
  <c r="AU18" i="5"/>
  <c r="AU10" i="5"/>
  <c r="AU9" i="5"/>
  <c r="AS10" i="5"/>
  <c r="AS9" i="5"/>
  <c r="AU8" i="5"/>
  <c r="AS8" i="5"/>
  <c r="AS6" i="5"/>
  <c r="AU6" i="5"/>
  <c r="AS7" i="5"/>
  <c r="AU7" i="5"/>
  <c r="AS5" i="5"/>
  <c r="AU5" i="5"/>
  <c r="AS3" i="5"/>
  <c r="AU3" i="5"/>
  <c r="AS4" i="5"/>
  <c r="AU4" i="5"/>
  <c r="AU2" i="5"/>
  <c r="AS2" i="5"/>
  <c r="CC3" i="3" l="1"/>
  <c r="CC4" i="3"/>
  <c r="CC5" i="3"/>
  <c r="CC6" i="3"/>
  <c r="CC7" i="3"/>
  <c r="CC8" i="3"/>
  <c r="CC9" i="3"/>
  <c r="CC10" i="3"/>
  <c r="CC11" i="3"/>
  <c r="CC12" i="3"/>
  <c r="CC13" i="3"/>
  <c r="CC14" i="3"/>
  <c r="CC15" i="3"/>
  <c r="CC16" i="3"/>
  <c r="CC17" i="3"/>
  <c r="CC18" i="3"/>
  <c r="CC19" i="3"/>
  <c r="CC20" i="3"/>
  <c r="CC21" i="3"/>
  <c r="CC22" i="3"/>
  <c r="CC23" i="3"/>
  <c r="CC24" i="3"/>
  <c r="CC25" i="3"/>
  <c r="CC26" i="3"/>
  <c r="CC27" i="3"/>
  <c r="CC28" i="3"/>
  <c r="CC29" i="3"/>
  <c r="CC30" i="3"/>
  <c r="CC2" i="3"/>
  <c r="AQ4" i="3"/>
  <c r="AQ3" i="3" l="1"/>
  <c r="AQ5" i="3"/>
  <c r="AQ6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2" i="3"/>
  <c r="AA67" i="3"/>
  <c r="AA56" i="3"/>
  <c r="AA61" i="3"/>
  <c r="AA59" i="3"/>
  <c r="AA58" i="3"/>
  <c r="M56" i="3"/>
  <c r="L56" i="3"/>
  <c r="L58" i="3"/>
  <c r="M58" i="3"/>
  <c r="L59" i="3"/>
  <c r="M59" i="3"/>
  <c r="L61" i="3"/>
  <c r="M61" i="3"/>
  <c r="L62" i="3"/>
  <c r="M62" i="3"/>
  <c r="L67" i="3"/>
  <c r="M67" i="3"/>
  <c r="R67" i="3"/>
  <c r="R65" i="3"/>
  <c r="R64" i="3"/>
  <c r="R62" i="3"/>
  <c r="R61" i="3"/>
  <c r="R59" i="3"/>
  <c r="R58" i="3"/>
  <c r="R56" i="3"/>
  <c r="K67" i="3"/>
  <c r="K62" i="3"/>
  <c r="K61" i="3"/>
  <c r="K59" i="3"/>
  <c r="K58" i="3"/>
  <c r="K56" i="3"/>
  <c r="J32" i="5"/>
  <c r="U67" i="3"/>
  <c r="U65" i="3"/>
  <c r="U64" i="3"/>
  <c r="U62" i="3"/>
  <c r="U61" i="3"/>
  <c r="U59" i="3"/>
  <c r="U58" i="3"/>
  <c r="U56" i="3"/>
  <c r="N86" i="3"/>
  <c r="N84" i="3"/>
  <c r="N83" i="3"/>
  <c r="N81" i="3"/>
  <c r="N80" i="3"/>
  <c r="N78" i="3"/>
  <c r="N77" i="3"/>
  <c r="N75" i="3"/>
  <c r="AA62" i="3" l="1"/>
  <c r="S32" i="5"/>
  <c r="O32" i="5"/>
  <c r="D81" i="5"/>
  <c r="D80" i="5"/>
  <c r="D79" i="5"/>
  <c r="Y13" i="4"/>
  <c r="Y12" i="4"/>
  <c r="M10" i="4"/>
  <c r="G9" i="4"/>
  <c r="Y10" i="4"/>
  <c r="M12" i="4"/>
  <c r="M11" i="4"/>
  <c r="X10" i="4"/>
  <c r="H8" i="5"/>
  <c r="H4" i="5" l="1"/>
  <c r="H3" i="5"/>
  <c r="H2" i="5"/>
  <c r="H31" i="5"/>
  <c r="H30" i="5"/>
  <c r="H29" i="5"/>
  <c r="T6" i="5"/>
  <c r="T50" i="5" l="1"/>
  <c r="M50" i="5"/>
  <c r="L50" i="5"/>
  <c r="D50" i="5"/>
  <c r="T49" i="5"/>
  <c r="M49" i="5"/>
  <c r="L49" i="5"/>
  <c r="D49" i="5"/>
  <c r="T48" i="5"/>
  <c r="M48" i="5"/>
  <c r="L48" i="5"/>
  <c r="D48" i="5"/>
  <c r="T47" i="5"/>
  <c r="M47" i="5"/>
  <c r="L47" i="5"/>
  <c r="D47" i="5"/>
  <c r="L46" i="5"/>
  <c r="D46" i="5"/>
  <c r="F45" i="5"/>
  <c r="F44" i="5"/>
  <c r="J43" i="5"/>
  <c r="F43" i="5"/>
  <c r="J42" i="5"/>
  <c r="F42" i="5"/>
  <c r="F41" i="5"/>
  <c r="F40" i="5"/>
  <c r="D40" i="5"/>
  <c r="S39" i="5"/>
  <c r="F39" i="5"/>
  <c r="D39" i="5"/>
  <c r="J39" i="5" s="1"/>
  <c r="S38" i="5"/>
  <c r="D38" i="5"/>
  <c r="J38" i="5" s="1"/>
  <c r="S77" i="5"/>
  <c r="O77" i="5"/>
  <c r="D77" i="5"/>
  <c r="S76" i="5"/>
  <c r="O76" i="5"/>
  <c r="D76" i="5"/>
  <c r="S75" i="5"/>
  <c r="O75" i="5"/>
  <c r="D75" i="5"/>
  <c r="S74" i="5"/>
  <c r="O74" i="5"/>
  <c r="D74" i="5"/>
  <c r="S73" i="5"/>
  <c r="O73" i="5"/>
  <c r="D73" i="5"/>
  <c r="S72" i="5"/>
  <c r="O72" i="5"/>
  <c r="D72" i="5"/>
  <c r="S71" i="5"/>
  <c r="O71" i="5"/>
  <c r="D71" i="5"/>
  <c r="S70" i="5"/>
  <c r="O70" i="5"/>
  <c r="D70" i="5"/>
  <c r="S69" i="5"/>
  <c r="O69" i="5"/>
  <c r="F69" i="5"/>
  <c r="D69" i="5"/>
  <c r="S68" i="5"/>
  <c r="O68" i="5"/>
  <c r="F68" i="5"/>
  <c r="D68" i="5"/>
  <c r="S67" i="5"/>
  <c r="O67" i="5"/>
  <c r="D67" i="5"/>
  <c r="H67" i="5" s="1"/>
  <c r="D54" i="5"/>
  <c r="F37" i="5"/>
  <c r="D37" i="5"/>
  <c r="J37" i="5" s="1"/>
  <c r="F36" i="5"/>
  <c r="D36" i="5"/>
  <c r="J36" i="5" s="1"/>
  <c r="AG35" i="5"/>
  <c r="Z35" i="5"/>
  <c r="D35" i="5"/>
  <c r="J35" i="5" s="1"/>
  <c r="U55" i="5"/>
  <c r="T55" i="5"/>
  <c r="D33" i="5"/>
  <c r="J33" i="5" s="1"/>
  <c r="D58" i="5"/>
  <c r="D57" i="5"/>
  <c r="D56" i="5"/>
  <c r="I84" i="5"/>
  <c r="F84" i="5"/>
  <c r="I83" i="5"/>
  <c r="F83" i="5"/>
  <c r="I82" i="5"/>
  <c r="F82" i="5"/>
  <c r="I81" i="5"/>
  <c r="F81" i="5"/>
  <c r="I80" i="5"/>
  <c r="F80" i="5"/>
  <c r="I79" i="5"/>
  <c r="F79" i="5"/>
  <c r="S65" i="5"/>
  <c r="O65" i="5"/>
  <c r="D65" i="5"/>
  <c r="J65" i="5" s="1"/>
  <c r="S64" i="5"/>
  <c r="O64" i="5"/>
  <c r="D64" i="5"/>
  <c r="J64" i="5" s="1"/>
  <c r="E28" i="5"/>
  <c r="E27" i="5"/>
  <c r="J26" i="5"/>
  <c r="I25" i="5"/>
  <c r="J25" i="5" s="1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M62" i="5"/>
  <c r="M61" i="5"/>
  <c r="M60" i="5"/>
  <c r="S6" i="5"/>
  <c r="O6" i="5"/>
  <c r="F5" i="5"/>
  <c r="D5" i="5"/>
  <c r="J5" i="5" s="1"/>
  <c r="AA4" i="5"/>
  <c r="AA3" i="5"/>
  <c r="AA2" i="5"/>
  <c r="J73" i="5" l="1"/>
  <c r="H73" i="5"/>
  <c r="J77" i="5"/>
  <c r="H77" i="5"/>
  <c r="J72" i="5"/>
  <c r="H72" i="5"/>
  <c r="J76" i="5"/>
  <c r="H76" i="5"/>
  <c r="J71" i="5"/>
  <c r="H71" i="5"/>
  <c r="J75" i="5"/>
  <c r="H75" i="5"/>
  <c r="J68" i="5"/>
  <c r="H68" i="5"/>
  <c r="J69" i="5"/>
  <c r="H69" i="5"/>
  <c r="J70" i="5"/>
  <c r="H70" i="5"/>
  <c r="J74" i="5"/>
  <c r="H74" i="5"/>
  <c r="U47" i="5"/>
  <c r="U49" i="5"/>
  <c r="U50" i="5"/>
  <c r="U48" i="5"/>
</calcChain>
</file>

<file path=xl/sharedStrings.xml><?xml version="1.0" encoding="utf-8"?>
<sst xmlns="http://schemas.openxmlformats.org/spreadsheetml/2006/main" count="1728" uniqueCount="205">
  <si>
    <t>No.</t>
  </si>
  <si>
    <t>System</t>
  </si>
  <si>
    <t>Phrase</t>
  </si>
  <si>
    <t>Ref</t>
  </si>
  <si>
    <t xml:space="preserve">Usable </t>
  </si>
  <si>
    <t>Reason</t>
  </si>
  <si>
    <t>Data Extracted</t>
  </si>
  <si>
    <t>"Septic Tank"</t>
  </si>
  <si>
    <t>N</t>
  </si>
  <si>
    <t>Y</t>
  </si>
  <si>
    <t>~</t>
  </si>
  <si>
    <t>Keshtgar 19</t>
  </si>
  <si>
    <t>Double Check</t>
  </si>
  <si>
    <t>Sharma 16 a</t>
  </si>
  <si>
    <t>Sharma 16 b</t>
  </si>
  <si>
    <t>Synthetic</t>
  </si>
  <si>
    <t>Chen 14</t>
  </si>
  <si>
    <t>Nasr 13</t>
  </si>
  <si>
    <t>Reactor</t>
  </si>
  <si>
    <t>Pretreatment</t>
  </si>
  <si>
    <t>Reactor Volume (m3)</t>
  </si>
  <si>
    <t>Temp (oC)</t>
  </si>
  <si>
    <t>Study Period</t>
  </si>
  <si>
    <t>No of Baffles</t>
  </si>
  <si>
    <t>Vup (m/h)</t>
  </si>
  <si>
    <t>HRT (h)</t>
  </si>
  <si>
    <t>OLR (kg COD  m-3 d-1)</t>
  </si>
  <si>
    <t>Inf TSS</t>
  </si>
  <si>
    <t>Inf TCOD</t>
  </si>
  <si>
    <t xml:space="preserve">Eff TSS (mg/l) </t>
  </si>
  <si>
    <t>TSS R (%)</t>
  </si>
  <si>
    <t>Eff VSS (mg/l)</t>
  </si>
  <si>
    <t>VSS R (%)</t>
  </si>
  <si>
    <t>Eff TCOD (mg/l)</t>
  </si>
  <si>
    <t>TCOD R (%)</t>
  </si>
  <si>
    <t>Eff PCOD (mg/l)</t>
  </si>
  <si>
    <t>PCOD R (%)</t>
  </si>
  <si>
    <t>Sludge Accumulation (m3/PE/yr)</t>
  </si>
  <si>
    <t>Sludge Accumulation Ratio (gCOD / kgCODin)</t>
  </si>
  <si>
    <t>Sludge Accumulation (l sludge/m3 WWT)</t>
  </si>
  <si>
    <t>Sludge Accumulation (l/kg COD)</t>
  </si>
  <si>
    <t>Sludge Accumulation (g accumulated TSS/kg TSS removed)</t>
  </si>
  <si>
    <t>Hydrolysis Rate Constant (day-1)</t>
  </si>
  <si>
    <t>Methane Generation (L/m-3WWT)</t>
  </si>
  <si>
    <t>Methane Generation (gCOD CH4/gCOD in)</t>
  </si>
  <si>
    <t>Methane Generation (L/gCOD in)</t>
  </si>
  <si>
    <t>Methane Generation (L/gCOD removed)</t>
  </si>
  <si>
    <t>Reference</t>
  </si>
  <si>
    <t>-</t>
  </si>
  <si>
    <t>Lohani 15 a</t>
  </si>
  <si>
    <t>ABR</t>
  </si>
  <si>
    <t>Sharma 21</t>
  </si>
  <si>
    <t>Combine with Sharma 21</t>
  </si>
  <si>
    <t>Sharma 15 a</t>
  </si>
  <si>
    <t>no data</t>
  </si>
  <si>
    <t>Effect of physical property of supporting media and variable hydraulic loading on hydraulic characteristics of advanced onsite wastewater treatment system</t>
  </si>
  <si>
    <t>Sharma 15 b</t>
  </si>
  <si>
    <t>Anaerobic onsite treatment of black water using filter-based packaged system as an alternative of conventional septic tank</t>
  </si>
  <si>
    <t>Sharma 14</t>
  </si>
  <si>
    <t>Saeed 21</t>
  </si>
  <si>
    <t>Cruddas 21</t>
  </si>
  <si>
    <t>Santiago-Diaz 21 a</t>
  </si>
  <si>
    <t>Santiago-Diaz 21 b</t>
  </si>
  <si>
    <t>Needs finishing</t>
  </si>
  <si>
    <t>Singh 21</t>
  </si>
  <si>
    <t>Haydar 18</t>
  </si>
  <si>
    <t>Santiago -Diaz 19</t>
  </si>
  <si>
    <t>Santiago -Diaz 17</t>
  </si>
  <si>
    <t>Sabry 10</t>
  </si>
  <si>
    <t>"anaerobic baffled reactor" or "anaerobic baffle reactor"</t>
  </si>
  <si>
    <t>Munavalli 22</t>
  </si>
  <si>
    <t>Nomoto 22</t>
  </si>
  <si>
    <t>Gholipour 21</t>
  </si>
  <si>
    <t>Recharacterised to ST</t>
  </si>
  <si>
    <t>Saif 21</t>
  </si>
  <si>
    <t>Yenji 21</t>
  </si>
  <si>
    <t>Check if different from Munavalli</t>
  </si>
  <si>
    <t xml:space="preserve"> Wu 20</t>
  </si>
  <si>
    <t>Wang 20</t>
  </si>
  <si>
    <t>Not sewage</t>
  </si>
  <si>
    <t>Zha 19</t>
  </si>
  <si>
    <t>Yulistyorini 19</t>
  </si>
  <si>
    <t>Sung 18</t>
  </si>
  <si>
    <t>Ziganshin 19</t>
  </si>
  <si>
    <t>Schalk 19</t>
  </si>
  <si>
    <t>Khalekuzzaman 18a</t>
  </si>
  <si>
    <t>Moges 18</t>
  </si>
  <si>
    <t>Black water very strong</t>
  </si>
  <si>
    <t>Pfluger 18 a</t>
  </si>
  <si>
    <t>Cruddas 18</t>
  </si>
  <si>
    <t>Combined with 21</t>
  </si>
  <si>
    <t>Khalekuzzaman 18b</t>
  </si>
  <si>
    <t>Tracer Study</t>
  </si>
  <si>
    <t>Fujihira 18</t>
  </si>
  <si>
    <t>Wrong influent</t>
  </si>
  <si>
    <t>Pfluger 18 b</t>
  </si>
  <si>
    <t>Ali 18</t>
  </si>
  <si>
    <t>Abassi 18</t>
  </si>
  <si>
    <t>Aqaneghad 16</t>
  </si>
  <si>
    <t>Hahn 15</t>
  </si>
  <si>
    <t>Feng 15</t>
  </si>
  <si>
    <t>Ratanatamskul 15</t>
  </si>
  <si>
    <t>Data for ABR only graphical, too poor quality</t>
  </si>
  <si>
    <t>Jamshidi 14</t>
  </si>
  <si>
    <t>Only SCOD analysed</t>
  </si>
  <si>
    <t>Wu 13</t>
  </si>
  <si>
    <t>wrong feed</t>
  </si>
  <si>
    <t>Gomec 10</t>
  </si>
  <si>
    <t>Gopala Krishna 08</t>
  </si>
  <si>
    <t>Bodkhe 09</t>
  </si>
  <si>
    <t>other HRTs investigated but little data given, so 6h highlighted</t>
  </si>
  <si>
    <t>Nasr 09</t>
  </si>
  <si>
    <t>(confirmed different to 13)</t>
  </si>
  <si>
    <t>Foxon 04</t>
  </si>
  <si>
    <t>Use the thesis in place of this!</t>
  </si>
  <si>
    <t>Dama 02</t>
  </si>
  <si>
    <t>Is part of Foxon work and poorly characterised here, use thesis</t>
  </si>
  <si>
    <t>Bodik 02</t>
  </si>
  <si>
    <t>Includes aerobic treatment</t>
  </si>
  <si>
    <t>Skiadas 98</t>
  </si>
  <si>
    <t>Barber 98</t>
  </si>
  <si>
    <t>Nachaiyasit 97 a</t>
  </si>
  <si>
    <t>Feed unclear</t>
  </si>
  <si>
    <t>Nachaiyasit 97 b</t>
  </si>
  <si>
    <t>Yu 96</t>
  </si>
  <si>
    <t xml:space="preserve">N </t>
  </si>
  <si>
    <t>Wrong WW</t>
  </si>
  <si>
    <t>"anaerobic pond" or "anaerobic lagoon"</t>
  </si>
  <si>
    <t>Cruddas 14</t>
  </si>
  <si>
    <t>Sani 13</t>
  </si>
  <si>
    <t>https://doi.org/10.2166/wst.2015.358</t>
  </si>
  <si>
    <t>Screened &lt;15mm, primary settler</t>
  </si>
  <si>
    <t>This paper needs a longer look it is quite a complicated set of runs that are mixed together</t>
  </si>
  <si>
    <t>Foxon 09</t>
  </si>
  <si>
    <t>288  (kg TS removed)</t>
  </si>
  <si>
    <t>Santiago Diaz 19 , 17</t>
  </si>
  <si>
    <t>Abassi 16</t>
  </si>
  <si>
    <t>ABR - Channel seperator</t>
  </si>
  <si>
    <t>Grinder pump, screened &lt;2mm</t>
  </si>
  <si>
    <t>Pfluger 18, 20</t>
  </si>
  <si>
    <t>ABR - Filter</t>
  </si>
  <si>
    <t>1.55 - 1.95</t>
  </si>
  <si>
    <t>776 - 967</t>
  </si>
  <si>
    <t>Pfluger 20</t>
  </si>
  <si>
    <t>0.78 - 0.97</t>
  </si>
  <si>
    <t>ABR w Biowall</t>
  </si>
  <si>
    <t>6 + 2 biowalls</t>
  </si>
  <si>
    <t>ABR - H</t>
  </si>
  <si>
    <t>Cruddas 21, 18</t>
  </si>
  <si>
    <t>ABR - H-V</t>
  </si>
  <si>
    <t>ABR w Zeolite filter</t>
  </si>
  <si>
    <t>This is in graph, difficult to read</t>
  </si>
  <si>
    <t>Santiago Diaz 21</t>
  </si>
  <si>
    <t>Desludging every 2 two years is recommended</t>
  </si>
  <si>
    <t>17-43</t>
  </si>
  <si>
    <t>(Black water)</t>
  </si>
  <si>
    <t>Sharma 21, 16 a, 15 b</t>
  </si>
  <si>
    <t>16 a</t>
  </si>
  <si>
    <t>On-site treatment of source separated domestic wastewater employing anaerobic package system</t>
  </si>
  <si>
    <t>12-40</t>
  </si>
  <si>
    <t>Performance evaluation of package plant for treatment of single household domestic wastewater</t>
  </si>
  <si>
    <t>Khalekuzzamen 18 a</t>
  </si>
  <si>
    <t>ABR - 0.05 mA cm-2</t>
  </si>
  <si>
    <t>ABR - 0.075 mA cm-2</t>
  </si>
  <si>
    <t>ABR - 0.1 mA cm-2</t>
  </si>
  <si>
    <t>ABR - 0.2 mA cm-2</t>
  </si>
  <si>
    <t>ABR - 0.3 mA cm-2</t>
  </si>
  <si>
    <t>ABR - 0.4 mA cm-2</t>
  </si>
  <si>
    <t>ABR - 0.5 mA cm-2</t>
  </si>
  <si>
    <t>22 - 24.8</t>
  </si>
  <si>
    <t>Feng 16</t>
  </si>
  <si>
    <t>467 (gTS/gTSr)</t>
  </si>
  <si>
    <t>The mass balance is wrong and partially ignored the TS in tank values are used</t>
  </si>
  <si>
    <t>506 (gTS/gTSr)</t>
  </si>
  <si>
    <t>They don’t seem to account for the possibility of hydrolysis</t>
  </si>
  <si>
    <t>697 (gTS/gTSr)</t>
  </si>
  <si>
    <t>557 (gTS/gTSr)</t>
  </si>
  <si>
    <t>Avialable</t>
  </si>
  <si>
    <t>Performance</t>
  </si>
  <si>
    <t>Start up</t>
  </si>
  <si>
    <t>Operation</t>
  </si>
  <si>
    <t>Discharged Sludge</t>
  </si>
  <si>
    <t>m3</t>
  </si>
  <si>
    <t>kg TSS</t>
  </si>
  <si>
    <t>Tank Sludge</t>
  </si>
  <si>
    <t>mg/l</t>
  </si>
  <si>
    <t>gd-1</t>
  </si>
  <si>
    <t>kg d-1</t>
  </si>
  <si>
    <t>Now the calculation here is a bit off as the assumption is the solids  remain in the tank, not that there is regular disposal</t>
  </si>
  <si>
    <t>gm-3</t>
  </si>
  <si>
    <t>Use the accumulation data  for discussion but not the table</t>
  </si>
  <si>
    <t>Median</t>
  </si>
  <si>
    <t>min</t>
  </si>
  <si>
    <t>max</t>
  </si>
  <si>
    <t>n</t>
  </si>
  <si>
    <t>Not suitable</t>
  </si>
  <si>
    <t>Blocks</t>
  </si>
  <si>
    <t>Connections</t>
  </si>
  <si>
    <t>Type of connections</t>
  </si>
  <si>
    <t>Complexity</t>
  </si>
  <si>
    <t>ST</t>
  </si>
  <si>
    <t>TSS R</t>
  </si>
  <si>
    <t>TCOD R</t>
  </si>
  <si>
    <t>EFF SCOD</t>
  </si>
  <si>
    <t>SCOD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</si>
</sst>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5" x14ac:knownFonts="1"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Arial"/>
      <family val="2"/>
    </font>
    <font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2" fillId="0" borderId="0" xfId="0" applyNumberFormat="1" applyFont="1"/>
    <xf numFmtId="2" fontId="2" fillId="0" borderId="0" xfId="0" applyNumberFormat="1" applyFont="1"/>
    <xf numFmtId="1" fontId="0" fillId="0" borderId="0" xfId="0" applyNumberFormat="1"/>
    <xf numFmtId="164" fontId="2" fillId="0" borderId="0" xfId="0" applyNumberFormat="1" applyFont="1"/>
    <xf numFmtId="0" fontId="2" fillId="2" borderId="0" xfId="0" applyFont="1" applyFill="1"/>
    <xf numFmtId="165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wrapText="1"/>
    </xf>
    <xf numFmtId="0" fontId="1" fillId="2" borderId="0" xfId="0" applyFont="1" applyFill="1"/>
    <xf numFmtId="1" fontId="0" fillId="2" borderId="0" xfId="0" applyNumberFormat="1" applyFill="1" applyAlignment="1">
      <alignment wrapText="1"/>
    </xf>
    <xf numFmtId="165" fontId="2" fillId="0" borderId="0" xfId="0" applyNumberFormat="1" applyFont="1"/>
    <xf numFmtId="0" fontId="2" fillId="0" borderId="0" xfId="0" applyFont="1" applyAlignment="1">
      <alignment wrapText="1"/>
    </xf>
    <xf numFmtId="0" fontId="3" fillId="0" borderId="0" xfId="1" applyAlignment="1">
      <alignment vertical="center" wrapText="1"/>
    </xf>
    <xf numFmtId="2" fontId="0" fillId="0" borderId="0" xfId="0" applyNumberFormat="1"/>
    <xf numFmtId="2" fontId="1" fillId="0" borderId="0" xfId="0" applyNumberFormat="1" applyFont="1"/>
    <xf numFmtId="1" fontId="1" fillId="0" borderId="0" xfId="0" applyNumberFormat="1" applyFont="1"/>
    <xf numFmtId="1" fontId="2" fillId="2" borderId="0" xfId="0" applyNumberFormat="1" applyFont="1" applyFill="1"/>
    <xf numFmtId="165" fontId="2" fillId="2" borderId="0" xfId="0" applyNumberFormat="1" applyFont="1" applyFill="1" applyAlignment="1">
      <alignment horizontal="right"/>
    </xf>
    <xf numFmtId="0" fontId="2" fillId="0" borderId="0" xfId="0" applyFont="1" applyAlignment="1">
      <alignment horizontal="center"/>
    </xf>
    <xf numFmtId="164" fontId="2" fillId="0" borderId="0" xfId="0" quotePrefix="1" applyNumberFormat="1" applyFont="1"/>
    <xf numFmtId="164" fontId="1" fillId="0" borderId="0" xfId="0" applyNumberFormat="1" applyFont="1"/>
    <xf numFmtId="1" fontId="1" fillId="0" borderId="0" xfId="0" applyNumberFormat="1" applyFont="1" applyAlignment="1">
      <alignment wrapText="1"/>
    </xf>
    <xf numFmtId="0" fontId="1" fillId="0" borderId="0" xfId="0" applyFont="1" applyAlignment="1">
      <alignment horizontal="center"/>
    </xf>
    <xf numFmtId="1" fontId="2" fillId="0" borderId="0" xfId="0" quotePrefix="1" applyNumberFormat="1" applyFont="1"/>
    <xf numFmtId="0" fontId="0" fillId="0" borderId="0" xfId="0" applyAlignment="1">
      <alignment horizontal="center"/>
    </xf>
    <xf numFmtId="164" fontId="0" fillId="0" borderId="0" xfId="0" applyNumberFormat="1"/>
    <xf numFmtId="16" fontId="0" fillId="0" borderId="0" xfId="0" applyNumberFormat="1"/>
    <xf numFmtId="0" fontId="4" fillId="0" borderId="0" xfId="0" applyFont="1"/>
    <xf numFmtId="0" fontId="4" fillId="2" borderId="0" xfId="0" applyFont="1" applyFill="1"/>
    <xf numFmtId="2" fontId="4" fillId="2" borderId="0" xfId="0" applyNumberFormat="1" applyFont="1" applyFill="1"/>
    <xf numFmtId="1" fontId="4" fillId="0" borderId="0" xfId="0" applyNumberFormat="1" applyFont="1" applyAlignment="1">
      <alignment wrapText="1"/>
    </xf>
    <xf numFmtId="1" fontId="4" fillId="0" borderId="0" xfId="0" applyNumberFormat="1" applyFont="1"/>
    <xf numFmtId="2" fontId="4" fillId="0" borderId="0" xfId="0" applyNumberFormat="1" applyFont="1"/>
    <xf numFmtId="9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/>
    <xf numFmtId="2" fontId="2" fillId="0" borderId="0" xfId="0" applyNumberFormat="1" applyFont="1" applyAlignment="1">
      <alignment horizontal="right"/>
    </xf>
    <xf numFmtId="1" fontId="0" fillId="2" borderId="0" xfId="0" applyNumberFormat="1" applyFill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" fontId="0" fillId="2" borderId="0" xfId="0" applyNumberForma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1" fontId="2" fillId="0" borderId="0" xfId="0" applyNumberFormat="1" applyFont="1" applyFill="1"/>
    <xf numFmtId="1" fontId="0" fillId="0" borderId="0" xfId="0" applyNumberFormat="1" applyFill="1"/>
    <xf numFmtId="0" fontId="0" fillId="0" borderId="0" xfId="0" applyFill="1"/>
    <xf numFmtId="0" fontId="2" fillId="0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Analysis!$U$1</c:f>
              <c:strCache>
                <c:ptCount val="1"/>
                <c:pt idx="0">
                  <c:v>TSS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Analysis!$R$2:$R$31</c:f>
              <c:numCache>
                <c:formatCode>0.0</c:formatCode>
                <c:ptCount val="30"/>
                <c:pt idx="0">
                  <c:v>10.5</c:v>
                </c:pt>
                <c:pt idx="1">
                  <c:v>10.5</c:v>
                </c:pt>
                <c:pt idx="2" formatCode="General">
                  <c:v>14.6</c:v>
                </c:pt>
                <c:pt idx="3" formatCode="General">
                  <c:v>15</c:v>
                </c:pt>
                <c:pt idx="4" formatCode="General">
                  <c:v>15</c:v>
                </c:pt>
                <c:pt idx="5" formatCode="General">
                  <c:v>15</c:v>
                </c:pt>
                <c:pt idx="6" formatCode="General">
                  <c:v>15</c:v>
                </c:pt>
                <c:pt idx="7" formatCode="General">
                  <c:v>15</c:v>
                </c:pt>
                <c:pt idx="8" formatCode="General">
                  <c:v>15</c:v>
                </c:pt>
                <c:pt idx="9" formatCode="General">
                  <c:v>15.7</c:v>
                </c:pt>
                <c:pt idx="10" formatCode="General">
                  <c:v>16.5</c:v>
                </c:pt>
                <c:pt idx="11" formatCode="General">
                  <c:v>16.600000000000001</c:v>
                </c:pt>
                <c:pt idx="12" formatCode="General">
                  <c:v>16.600000000000001</c:v>
                </c:pt>
                <c:pt idx="13" formatCode="General">
                  <c:v>17.899999999999999</c:v>
                </c:pt>
                <c:pt idx="14" formatCode="General">
                  <c:v>18</c:v>
                </c:pt>
                <c:pt idx="15" formatCode="General">
                  <c:v>18.5</c:v>
                </c:pt>
                <c:pt idx="16" formatCode="General">
                  <c:v>19</c:v>
                </c:pt>
                <c:pt idx="17" formatCode="0">
                  <c:v>23</c:v>
                </c:pt>
                <c:pt idx="18" formatCode="0">
                  <c:v>23.3</c:v>
                </c:pt>
                <c:pt idx="19" formatCode="0">
                  <c:v>24</c:v>
                </c:pt>
                <c:pt idx="20" formatCode="General">
                  <c:v>24.1</c:v>
                </c:pt>
                <c:pt idx="21" formatCode="0">
                  <c:v>25.1</c:v>
                </c:pt>
                <c:pt idx="22" formatCode="0.000">
                  <c:v>26</c:v>
                </c:pt>
                <c:pt idx="23" formatCode="General">
                  <c:v>27.2</c:v>
                </c:pt>
                <c:pt idx="24" formatCode="General">
                  <c:v>27.8</c:v>
                </c:pt>
                <c:pt idx="25">
                  <c:v>28.2</c:v>
                </c:pt>
                <c:pt idx="26">
                  <c:v>28.5</c:v>
                </c:pt>
                <c:pt idx="27" formatCode="0.000">
                  <c:v>30</c:v>
                </c:pt>
                <c:pt idx="28" formatCode="0">
                  <c:v>30</c:v>
                </c:pt>
                <c:pt idx="29" formatCode="0">
                  <c:v>35</c:v>
                </c:pt>
              </c:numCache>
            </c:numRef>
          </c:xVal>
          <c:yVal>
            <c:numRef>
              <c:f>Analysis!$U$2:$U$31</c:f>
              <c:numCache>
                <c:formatCode>0</c:formatCode>
                <c:ptCount val="30"/>
                <c:pt idx="0">
                  <c:v>67.148014440433215</c:v>
                </c:pt>
                <c:pt idx="1">
                  <c:v>71.119133574007222</c:v>
                </c:pt>
                <c:pt idx="2">
                  <c:v>41.7</c:v>
                </c:pt>
                <c:pt idx="3" formatCode="General">
                  <c:v>40</c:v>
                </c:pt>
                <c:pt idx="4" formatCode="General">
                  <c:v>40</c:v>
                </c:pt>
                <c:pt idx="5" formatCode="General">
                  <c:v>50</c:v>
                </c:pt>
                <c:pt idx="6" formatCode="General">
                  <c:v>56</c:v>
                </c:pt>
                <c:pt idx="7" formatCode="General">
                  <c:v>54</c:v>
                </c:pt>
                <c:pt idx="8" formatCode="General">
                  <c:v>62</c:v>
                </c:pt>
                <c:pt idx="9">
                  <c:v>42.016806722689076</c:v>
                </c:pt>
                <c:pt idx="10">
                  <c:v>76.7</c:v>
                </c:pt>
                <c:pt idx="11">
                  <c:v>85.7</c:v>
                </c:pt>
                <c:pt idx="12">
                  <c:v>84.5</c:v>
                </c:pt>
                <c:pt idx="13">
                  <c:v>83</c:v>
                </c:pt>
                <c:pt idx="14">
                  <c:v>83</c:v>
                </c:pt>
                <c:pt idx="15">
                  <c:v>91</c:v>
                </c:pt>
                <c:pt idx="16">
                  <c:v>84</c:v>
                </c:pt>
                <c:pt idx="17">
                  <c:v>70.5</c:v>
                </c:pt>
                <c:pt idx="18">
                  <c:v>73.7</c:v>
                </c:pt>
                <c:pt idx="19">
                  <c:v>68.900000000000006</c:v>
                </c:pt>
                <c:pt idx="20" formatCode="General">
                  <c:v>72</c:v>
                </c:pt>
                <c:pt idx="21">
                  <c:v>82</c:v>
                </c:pt>
                <c:pt idx="22">
                  <c:v>91.2</c:v>
                </c:pt>
                <c:pt idx="23" formatCode="General">
                  <c:v>68</c:v>
                </c:pt>
                <c:pt idx="24" formatCode="General">
                  <c:v>76</c:v>
                </c:pt>
                <c:pt idx="25">
                  <c:v>95</c:v>
                </c:pt>
                <c:pt idx="26">
                  <c:v>90</c:v>
                </c:pt>
                <c:pt idx="27">
                  <c:v>89</c:v>
                </c:pt>
                <c:pt idx="28">
                  <c:v>90</c:v>
                </c:pt>
                <c:pt idx="29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62-45C4-BEDB-5EBBF8AB8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6089903"/>
        <c:axId val="1966092399"/>
      </c:scatterChart>
      <c:valAx>
        <c:axId val="1966089903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092399"/>
        <c:crosses val="autoZero"/>
        <c:crossBetween val="midCat"/>
      </c:valAx>
      <c:valAx>
        <c:axId val="1966092399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089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Analysis!$CZ$1</c:f>
              <c:strCache>
                <c:ptCount val="1"/>
                <c:pt idx="0">
                  <c:v>TSS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Analysis!$CY$2:$CY$27</c:f>
              <c:numCache>
                <c:formatCode>General</c:formatCode>
                <c:ptCount val="2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 formatCode="0">
                  <c:v>2</c:v>
                </c:pt>
                <c:pt idx="4" formatCode="0">
                  <c:v>2</c:v>
                </c:pt>
                <c:pt idx="5" formatCode="0">
                  <c:v>4</c:v>
                </c:pt>
                <c:pt idx="6">
                  <c:v>5</c:v>
                </c:pt>
                <c:pt idx="7">
                  <c:v>5</c:v>
                </c:pt>
                <c:pt idx="8" formatCode="0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 formatCode="0">
                  <c:v>9</c:v>
                </c:pt>
                <c:pt idx="15" formatCode="0">
                  <c:v>9</c:v>
                </c:pt>
                <c:pt idx="16" formatCode="0">
                  <c:v>9</c:v>
                </c:pt>
                <c:pt idx="17" formatCode="0">
                  <c:v>9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 formatCode="0">
                  <c:v>13</c:v>
                </c:pt>
                <c:pt idx="22" formatCode="0">
                  <c:v>13</c:v>
                </c:pt>
                <c:pt idx="23">
                  <c:v>14</c:v>
                </c:pt>
                <c:pt idx="24">
                  <c:v>14</c:v>
                </c:pt>
                <c:pt idx="25" formatCode="0">
                  <c:v>17</c:v>
                </c:pt>
              </c:numCache>
            </c:numRef>
          </c:xVal>
          <c:yVal>
            <c:numRef>
              <c:f>Analysis!$CZ$2:$CZ$27</c:f>
              <c:numCache>
                <c:formatCode>General</c:formatCode>
                <c:ptCount val="26"/>
                <c:pt idx="0">
                  <c:v>68</c:v>
                </c:pt>
                <c:pt idx="1">
                  <c:v>72</c:v>
                </c:pt>
                <c:pt idx="2">
                  <c:v>76</c:v>
                </c:pt>
                <c:pt idx="3" formatCode="0">
                  <c:v>90</c:v>
                </c:pt>
                <c:pt idx="4" formatCode="0">
                  <c:v>91.2</c:v>
                </c:pt>
                <c:pt idx="5" formatCode="0">
                  <c:v>89</c:v>
                </c:pt>
                <c:pt idx="6" formatCode="0">
                  <c:v>84.5</c:v>
                </c:pt>
                <c:pt idx="7" formatCode="0">
                  <c:v>85.7</c:v>
                </c:pt>
                <c:pt idx="8" formatCode="0">
                  <c:v>67.148014440433215</c:v>
                </c:pt>
                <c:pt idx="9" formatCode="0">
                  <c:v>84</c:v>
                </c:pt>
                <c:pt idx="10">
                  <c:v>40</c:v>
                </c:pt>
                <c:pt idx="11">
                  <c:v>50</c:v>
                </c:pt>
                <c:pt idx="12">
                  <c:v>54</c:v>
                </c:pt>
                <c:pt idx="13" formatCode="0">
                  <c:v>83</c:v>
                </c:pt>
                <c:pt idx="14" formatCode="0">
                  <c:v>68.900000000000006</c:v>
                </c:pt>
                <c:pt idx="15" formatCode="0">
                  <c:v>70.5</c:v>
                </c:pt>
                <c:pt idx="16" formatCode="0">
                  <c:v>73.7</c:v>
                </c:pt>
                <c:pt idx="17" formatCode="0">
                  <c:v>82</c:v>
                </c:pt>
                <c:pt idx="18">
                  <c:v>40</c:v>
                </c:pt>
                <c:pt idx="19">
                  <c:v>56</c:v>
                </c:pt>
                <c:pt idx="20">
                  <c:v>62</c:v>
                </c:pt>
                <c:pt idx="21" formatCode="0">
                  <c:v>90</c:v>
                </c:pt>
                <c:pt idx="22" formatCode="0">
                  <c:v>95</c:v>
                </c:pt>
                <c:pt idx="23" formatCode="0">
                  <c:v>41.7</c:v>
                </c:pt>
                <c:pt idx="24" formatCode="0">
                  <c:v>42.016806722689076</c:v>
                </c:pt>
                <c:pt idx="25" formatCode="0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5D-4F1D-B2C0-AA4359805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143424"/>
        <c:axId val="931128032"/>
      </c:scatterChart>
      <c:valAx>
        <c:axId val="93114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1128032"/>
        <c:crosses val="autoZero"/>
        <c:crossBetween val="midCat"/>
      </c:valAx>
      <c:valAx>
        <c:axId val="9311280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1143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Analysis!$DF$1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Analysis!$DE$2:$DE$46</c:f>
              <c:numCache>
                <c:formatCode>General</c:formatCode>
                <c:ptCount val="4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 formatCode="0">
                  <c:v>2</c:v>
                </c:pt>
                <c:pt idx="4" formatCode="0">
                  <c:v>2</c:v>
                </c:pt>
                <c:pt idx="5" formatCode="0">
                  <c:v>4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 formatCode="0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 formatCode="0">
                  <c:v>9</c:v>
                </c:pt>
                <c:pt idx="25">
                  <c:v>9</c:v>
                </c:pt>
                <c:pt idx="26" formatCode="0">
                  <c:v>9</c:v>
                </c:pt>
                <c:pt idx="27" formatCode="0">
                  <c:v>9</c:v>
                </c:pt>
                <c:pt idx="28" formatCode="0">
                  <c:v>9</c:v>
                </c:pt>
                <c:pt idx="29" formatCode="0">
                  <c:v>10</c:v>
                </c:pt>
                <c:pt idx="30" formatCode="0">
                  <c:v>10</c:v>
                </c:pt>
                <c:pt idx="31" formatCode="0">
                  <c:v>10</c:v>
                </c:pt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5" formatCode="0">
                  <c:v>13</c:v>
                </c:pt>
                <c:pt idx="36" formatCode="0">
                  <c:v>13</c:v>
                </c:pt>
                <c:pt idx="37">
                  <c:v>14</c:v>
                </c:pt>
                <c:pt idx="38">
                  <c:v>14</c:v>
                </c:pt>
                <c:pt idx="39" formatCode="0">
                  <c:v>17</c:v>
                </c:pt>
                <c:pt idx="40" formatCode="0">
                  <c:v>17</c:v>
                </c:pt>
                <c:pt idx="41" formatCode="0">
                  <c:v>17</c:v>
                </c:pt>
                <c:pt idx="42" formatCode="0">
                  <c:v>17</c:v>
                </c:pt>
                <c:pt idx="43" formatCode="0">
                  <c:v>17</c:v>
                </c:pt>
                <c:pt idx="44" formatCode="0">
                  <c:v>17</c:v>
                </c:pt>
              </c:numCache>
            </c:numRef>
          </c:xVal>
          <c:yVal>
            <c:numRef>
              <c:f>Analysis!$DF$2:$DF$46</c:f>
              <c:numCache>
                <c:formatCode>General</c:formatCode>
                <c:ptCount val="45"/>
                <c:pt idx="0">
                  <c:v>57</c:v>
                </c:pt>
                <c:pt idx="1">
                  <c:v>64</c:v>
                </c:pt>
                <c:pt idx="2">
                  <c:v>74</c:v>
                </c:pt>
                <c:pt idx="3" formatCode="0">
                  <c:v>88.6</c:v>
                </c:pt>
                <c:pt idx="4" formatCode="0">
                  <c:v>90</c:v>
                </c:pt>
                <c:pt idx="5" formatCode="0">
                  <c:v>84</c:v>
                </c:pt>
                <c:pt idx="6" formatCode="0">
                  <c:v>54.104477611940297</c:v>
                </c:pt>
                <c:pt idx="7" formatCode="0">
                  <c:v>56.000000000000007</c:v>
                </c:pt>
                <c:pt idx="8" formatCode="0">
                  <c:v>58.536585365853654</c:v>
                </c:pt>
                <c:pt idx="9" formatCode="0">
                  <c:v>69.599999999999994</c:v>
                </c:pt>
                <c:pt idx="10" formatCode="0">
                  <c:v>70.099999999999994</c:v>
                </c:pt>
                <c:pt idx="11" formatCode="0">
                  <c:v>45.676274944567631</c:v>
                </c:pt>
                <c:pt idx="12" formatCode="0">
                  <c:v>76</c:v>
                </c:pt>
                <c:pt idx="13" formatCode="0">
                  <c:v>43</c:v>
                </c:pt>
                <c:pt idx="14">
                  <c:v>48</c:v>
                </c:pt>
                <c:pt idx="15">
                  <c:v>53</c:v>
                </c:pt>
                <c:pt idx="16">
                  <c:v>56</c:v>
                </c:pt>
                <c:pt idx="17">
                  <c:v>51</c:v>
                </c:pt>
                <c:pt idx="18">
                  <c:v>55</c:v>
                </c:pt>
                <c:pt idx="19">
                  <c:v>59</c:v>
                </c:pt>
                <c:pt idx="20">
                  <c:v>61</c:v>
                </c:pt>
                <c:pt idx="21">
                  <c:v>62</c:v>
                </c:pt>
                <c:pt idx="22">
                  <c:v>64</c:v>
                </c:pt>
                <c:pt idx="23">
                  <c:v>67</c:v>
                </c:pt>
                <c:pt idx="24" formatCode="0">
                  <c:v>67.5</c:v>
                </c:pt>
                <c:pt idx="25">
                  <c:v>68</c:v>
                </c:pt>
                <c:pt idx="26" formatCode="0">
                  <c:v>75.599999999999994</c:v>
                </c:pt>
                <c:pt idx="27" formatCode="0">
                  <c:v>79.7</c:v>
                </c:pt>
                <c:pt idx="28" formatCode="0">
                  <c:v>82</c:v>
                </c:pt>
                <c:pt idx="29" formatCode="0">
                  <c:v>27.252252252252251</c:v>
                </c:pt>
                <c:pt idx="30" formatCode="0">
                  <c:v>53.257790368271948</c:v>
                </c:pt>
                <c:pt idx="31" formatCode="0">
                  <c:v>66.400000000000006</c:v>
                </c:pt>
                <c:pt idx="32">
                  <c:v>50</c:v>
                </c:pt>
                <c:pt idx="33">
                  <c:v>56</c:v>
                </c:pt>
                <c:pt idx="34">
                  <c:v>60</c:v>
                </c:pt>
                <c:pt idx="35" formatCode="0">
                  <c:v>88</c:v>
                </c:pt>
                <c:pt idx="36" formatCode="0">
                  <c:v>91</c:v>
                </c:pt>
                <c:pt idx="37" formatCode="0">
                  <c:v>22.600619195046441</c:v>
                </c:pt>
                <c:pt idx="38" formatCode="0">
                  <c:v>24.8</c:v>
                </c:pt>
                <c:pt idx="39" formatCode="0">
                  <c:v>63</c:v>
                </c:pt>
                <c:pt idx="40" formatCode="0">
                  <c:v>67</c:v>
                </c:pt>
                <c:pt idx="41" formatCode="0">
                  <c:v>72</c:v>
                </c:pt>
                <c:pt idx="42" formatCode="0">
                  <c:v>75</c:v>
                </c:pt>
                <c:pt idx="43" formatCode="0">
                  <c:v>84</c:v>
                </c:pt>
                <c:pt idx="44" formatCode="0">
                  <c:v>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BF-44DF-BC33-C2F9E9F95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7682144"/>
        <c:axId val="927682560"/>
      </c:scatterChart>
      <c:valAx>
        <c:axId val="92768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7682560"/>
        <c:crosses val="autoZero"/>
        <c:crossBetween val="midCat"/>
      </c:valAx>
      <c:valAx>
        <c:axId val="927682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7682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Analysis!$N$1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Analysis!$K$2:$K$52</c:f>
              <c:numCache>
                <c:formatCode>General</c:formatCode>
                <c:ptCount val="51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 formatCode="0.0">
                  <c:v>10.5</c:v>
                </c:pt>
                <c:pt idx="5" formatCode="0.0">
                  <c:v>10.5</c:v>
                </c:pt>
                <c:pt idx="6" formatCode="0">
                  <c:v>13.5</c:v>
                </c:pt>
                <c:pt idx="7">
                  <c:v>14.6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15.7</c:v>
                </c:pt>
                <c:pt idx="15">
                  <c:v>16</c:v>
                </c:pt>
                <c:pt idx="16">
                  <c:v>16</c:v>
                </c:pt>
                <c:pt idx="17">
                  <c:v>16</c:v>
                </c:pt>
                <c:pt idx="18">
                  <c:v>16.5</c:v>
                </c:pt>
                <c:pt idx="19">
                  <c:v>16.600000000000001</c:v>
                </c:pt>
                <c:pt idx="20">
                  <c:v>16.600000000000001</c:v>
                </c:pt>
                <c:pt idx="21">
                  <c:v>17.899999999999999</c:v>
                </c:pt>
                <c:pt idx="22" formatCode="0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18.5</c:v>
                </c:pt>
                <c:pt idx="27" formatCode="0">
                  <c:v>19</c:v>
                </c:pt>
                <c:pt idx="28">
                  <c:v>19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 formatCode="0">
                  <c:v>23</c:v>
                </c:pt>
                <c:pt idx="34" formatCode="0">
                  <c:v>23.3</c:v>
                </c:pt>
                <c:pt idx="35" formatCode="0.000">
                  <c:v>23.4</c:v>
                </c:pt>
                <c:pt idx="36" formatCode="0.000">
                  <c:v>23.4</c:v>
                </c:pt>
                <c:pt idx="37" formatCode="0">
                  <c:v>24</c:v>
                </c:pt>
                <c:pt idx="38" formatCode="0">
                  <c:v>24</c:v>
                </c:pt>
                <c:pt idx="39" formatCode="0">
                  <c:v>24</c:v>
                </c:pt>
                <c:pt idx="40">
                  <c:v>24.1</c:v>
                </c:pt>
                <c:pt idx="41" formatCode="0">
                  <c:v>25.1</c:v>
                </c:pt>
                <c:pt idx="42" formatCode="0.000">
                  <c:v>26</c:v>
                </c:pt>
                <c:pt idx="43">
                  <c:v>27.2</c:v>
                </c:pt>
                <c:pt idx="44">
                  <c:v>27.8</c:v>
                </c:pt>
                <c:pt idx="45" formatCode="0.0">
                  <c:v>28.2</c:v>
                </c:pt>
                <c:pt idx="46" formatCode="0.0">
                  <c:v>28.5</c:v>
                </c:pt>
                <c:pt idx="47" formatCode="0">
                  <c:v>30</c:v>
                </c:pt>
                <c:pt idx="48" formatCode="0.000">
                  <c:v>30</c:v>
                </c:pt>
                <c:pt idx="49" formatCode="0">
                  <c:v>30</c:v>
                </c:pt>
                <c:pt idx="50" formatCode="0">
                  <c:v>35</c:v>
                </c:pt>
              </c:numCache>
            </c:numRef>
          </c:xVal>
          <c:yVal>
            <c:numRef>
              <c:f>Analysis!$N$2:$N$52</c:f>
              <c:numCache>
                <c:formatCode>General</c:formatCode>
                <c:ptCount val="51"/>
                <c:pt idx="0">
                  <c:v>51</c:v>
                </c:pt>
                <c:pt idx="1">
                  <c:v>55</c:v>
                </c:pt>
                <c:pt idx="2">
                  <c:v>61</c:v>
                </c:pt>
                <c:pt idx="3">
                  <c:v>62</c:v>
                </c:pt>
                <c:pt idx="4" formatCode="0">
                  <c:v>47.006651884700666</c:v>
                </c:pt>
                <c:pt idx="5" formatCode="0">
                  <c:v>45.676274944567631</c:v>
                </c:pt>
                <c:pt idx="6" formatCode="0">
                  <c:v>84</c:v>
                </c:pt>
                <c:pt idx="7" formatCode="0">
                  <c:v>24.8</c:v>
                </c:pt>
                <c:pt idx="8">
                  <c:v>48</c:v>
                </c:pt>
                <c:pt idx="9">
                  <c:v>50</c:v>
                </c:pt>
                <c:pt idx="10">
                  <c:v>53</c:v>
                </c:pt>
                <c:pt idx="11">
                  <c:v>56</c:v>
                </c:pt>
                <c:pt idx="12">
                  <c:v>56</c:v>
                </c:pt>
                <c:pt idx="13">
                  <c:v>60</c:v>
                </c:pt>
                <c:pt idx="14" formatCode="0">
                  <c:v>22.600619195046441</c:v>
                </c:pt>
                <c:pt idx="15" formatCode="0">
                  <c:v>56.000000000000007</c:v>
                </c:pt>
                <c:pt idx="16" formatCode="0">
                  <c:v>58.536585365853654</c:v>
                </c:pt>
                <c:pt idx="17" formatCode="0">
                  <c:v>54.104477611940297</c:v>
                </c:pt>
                <c:pt idx="18" formatCode="0">
                  <c:v>52.4</c:v>
                </c:pt>
                <c:pt idx="19" formatCode="0">
                  <c:v>70.099999999999994</c:v>
                </c:pt>
                <c:pt idx="20" formatCode="0">
                  <c:v>69.599999999999994</c:v>
                </c:pt>
                <c:pt idx="21" formatCode="0">
                  <c:v>43</c:v>
                </c:pt>
                <c:pt idx="22" formatCode="0">
                  <c:v>63</c:v>
                </c:pt>
                <c:pt idx="23" formatCode="0">
                  <c:v>43</c:v>
                </c:pt>
                <c:pt idx="24" formatCode="0">
                  <c:v>43</c:v>
                </c:pt>
                <c:pt idx="25" formatCode="0">
                  <c:v>72</c:v>
                </c:pt>
                <c:pt idx="26" formatCode="0">
                  <c:v>54</c:v>
                </c:pt>
                <c:pt idx="27" formatCode="0">
                  <c:v>67</c:v>
                </c:pt>
                <c:pt idx="28" formatCode="0">
                  <c:v>76</c:v>
                </c:pt>
                <c:pt idx="29">
                  <c:v>59</c:v>
                </c:pt>
                <c:pt idx="30">
                  <c:v>64</c:v>
                </c:pt>
                <c:pt idx="31">
                  <c:v>67</c:v>
                </c:pt>
                <c:pt idx="32">
                  <c:v>68</c:v>
                </c:pt>
                <c:pt idx="33" formatCode="0">
                  <c:v>75.599999999999994</c:v>
                </c:pt>
                <c:pt idx="34" formatCode="0">
                  <c:v>79.7</c:v>
                </c:pt>
                <c:pt idx="35" formatCode="0">
                  <c:v>27.252252252252251</c:v>
                </c:pt>
                <c:pt idx="36" formatCode="0">
                  <c:v>53.257790368271948</c:v>
                </c:pt>
                <c:pt idx="37" formatCode="0">
                  <c:v>67.5</c:v>
                </c:pt>
                <c:pt idx="38" formatCode="0">
                  <c:v>75</c:v>
                </c:pt>
                <c:pt idx="39" formatCode="0">
                  <c:v>72</c:v>
                </c:pt>
                <c:pt idx="40">
                  <c:v>64</c:v>
                </c:pt>
                <c:pt idx="41" formatCode="0">
                  <c:v>82</c:v>
                </c:pt>
                <c:pt idx="42" formatCode="0">
                  <c:v>88.6</c:v>
                </c:pt>
                <c:pt idx="43">
                  <c:v>57</c:v>
                </c:pt>
                <c:pt idx="44">
                  <c:v>74</c:v>
                </c:pt>
                <c:pt idx="45" formatCode="0">
                  <c:v>88</c:v>
                </c:pt>
                <c:pt idx="46" formatCode="0">
                  <c:v>91</c:v>
                </c:pt>
                <c:pt idx="47" formatCode="0">
                  <c:v>66.400000000000006</c:v>
                </c:pt>
                <c:pt idx="48" formatCode="0">
                  <c:v>84</c:v>
                </c:pt>
                <c:pt idx="49" formatCode="0">
                  <c:v>90</c:v>
                </c:pt>
                <c:pt idx="50" formatCode="0">
                  <c:v>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C1-47C3-B662-7C8D8BAA2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7161423"/>
        <c:axId val="1987162671"/>
      </c:scatterChart>
      <c:valAx>
        <c:axId val="19871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7162671"/>
        <c:crosses val="autoZero"/>
        <c:crossBetween val="midCat"/>
      </c:valAx>
      <c:valAx>
        <c:axId val="19871626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71614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Analysis!$N$1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Analysis!$L$2:$L$52</c:f>
              <c:numCache>
                <c:formatCode>General</c:formatCode>
                <c:ptCount val="51"/>
                <c:pt idx="0">
                  <c:v>72</c:v>
                </c:pt>
                <c:pt idx="1">
                  <c:v>96</c:v>
                </c:pt>
                <c:pt idx="2">
                  <c:v>120</c:v>
                </c:pt>
                <c:pt idx="3">
                  <c:v>144</c:v>
                </c:pt>
                <c:pt idx="4">
                  <c:v>55.2</c:v>
                </c:pt>
                <c:pt idx="5">
                  <c:v>55.2</c:v>
                </c:pt>
                <c:pt idx="6">
                  <c:v>17.8</c:v>
                </c:pt>
                <c:pt idx="7">
                  <c:v>28</c:v>
                </c:pt>
                <c:pt idx="8">
                  <c:v>12</c:v>
                </c:pt>
                <c:pt idx="9">
                  <c:v>12</c:v>
                </c:pt>
                <c:pt idx="10">
                  <c:v>24</c:v>
                </c:pt>
                <c:pt idx="11">
                  <c:v>24</c:v>
                </c:pt>
                <c:pt idx="12">
                  <c:v>48</c:v>
                </c:pt>
                <c:pt idx="13">
                  <c:v>48</c:v>
                </c:pt>
                <c:pt idx="14">
                  <c:v>26</c:v>
                </c:pt>
                <c:pt idx="15">
                  <c:v>12</c:v>
                </c:pt>
                <c:pt idx="16">
                  <c:v>24</c:v>
                </c:pt>
                <c:pt idx="17">
                  <c:v>36</c:v>
                </c:pt>
                <c:pt idx="18">
                  <c:v>73.599999999999994</c:v>
                </c:pt>
                <c:pt idx="19">
                  <c:v>48</c:v>
                </c:pt>
                <c:pt idx="20">
                  <c:v>72</c:v>
                </c:pt>
                <c:pt idx="21">
                  <c:v>24</c:v>
                </c:pt>
                <c:pt idx="22">
                  <c:v>9.5</c:v>
                </c:pt>
                <c:pt idx="23">
                  <c:v>12</c:v>
                </c:pt>
                <c:pt idx="24">
                  <c:v>12</c:v>
                </c:pt>
                <c:pt idx="25">
                  <c:v>24</c:v>
                </c:pt>
                <c:pt idx="26">
                  <c:v>27</c:v>
                </c:pt>
                <c:pt idx="27">
                  <c:v>12.8</c:v>
                </c:pt>
                <c:pt idx="28">
                  <c:v>24</c:v>
                </c:pt>
                <c:pt idx="29">
                  <c:v>48</c:v>
                </c:pt>
                <c:pt idx="30">
                  <c:v>72</c:v>
                </c:pt>
                <c:pt idx="31">
                  <c:v>96</c:v>
                </c:pt>
                <c:pt idx="32">
                  <c:v>120</c:v>
                </c:pt>
                <c:pt idx="33">
                  <c:v>12</c:v>
                </c:pt>
                <c:pt idx="34">
                  <c:v>18</c:v>
                </c:pt>
                <c:pt idx="35">
                  <c:v>10</c:v>
                </c:pt>
                <c:pt idx="36">
                  <c:v>10</c:v>
                </c:pt>
                <c:pt idx="37">
                  <c:v>8</c:v>
                </c:pt>
                <c:pt idx="38">
                  <c:v>8.5500000000000007</c:v>
                </c:pt>
                <c:pt idx="39">
                  <c:v>11.1</c:v>
                </c:pt>
                <c:pt idx="40">
                  <c:v>48</c:v>
                </c:pt>
                <c:pt idx="41">
                  <c:v>24</c:v>
                </c:pt>
                <c:pt idx="42">
                  <c:v>24</c:v>
                </c:pt>
                <c:pt idx="43">
                  <c:v>24</c:v>
                </c:pt>
                <c:pt idx="44">
                  <c:v>72</c:v>
                </c:pt>
                <c:pt idx="45">
                  <c:v>30</c:v>
                </c:pt>
                <c:pt idx="46">
                  <c:v>30</c:v>
                </c:pt>
                <c:pt idx="47">
                  <c:v>10</c:v>
                </c:pt>
                <c:pt idx="48">
                  <c:v>20</c:v>
                </c:pt>
                <c:pt idx="49">
                  <c:v>24</c:v>
                </c:pt>
                <c:pt idx="50">
                  <c:v>6</c:v>
                </c:pt>
              </c:numCache>
            </c:numRef>
          </c:xVal>
          <c:yVal>
            <c:numRef>
              <c:f>Analysis!$N$2:$N$52</c:f>
              <c:numCache>
                <c:formatCode>General</c:formatCode>
                <c:ptCount val="51"/>
                <c:pt idx="0">
                  <c:v>51</c:v>
                </c:pt>
                <c:pt idx="1">
                  <c:v>55</c:v>
                </c:pt>
                <c:pt idx="2">
                  <c:v>61</c:v>
                </c:pt>
                <c:pt idx="3">
                  <c:v>62</c:v>
                </c:pt>
                <c:pt idx="4" formatCode="0">
                  <c:v>47.006651884700666</c:v>
                </c:pt>
                <c:pt idx="5" formatCode="0">
                  <c:v>45.676274944567631</c:v>
                </c:pt>
                <c:pt idx="6" formatCode="0">
                  <c:v>84</c:v>
                </c:pt>
                <c:pt idx="7" formatCode="0">
                  <c:v>24.8</c:v>
                </c:pt>
                <c:pt idx="8">
                  <c:v>48</c:v>
                </c:pt>
                <c:pt idx="9">
                  <c:v>50</c:v>
                </c:pt>
                <c:pt idx="10">
                  <c:v>53</c:v>
                </c:pt>
                <c:pt idx="11">
                  <c:v>56</c:v>
                </c:pt>
                <c:pt idx="12">
                  <c:v>56</c:v>
                </c:pt>
                <c:pt idx="13">
                  <c:v>60</c:v>
                </c:pt>
                <c:pt idx="14" formatCode="0">
                  <c:v>22.600619195046441</c:v>
                </c:pt>
                <c:pt idx="15" formatCode="0">
                  <c:v>56.000000000000007</c:v>
                </c:pt>
                <c:pt idx="16" formatCode="0">
                  <c:v>58.536585365853654</c:v>
                </c:pt>
                <c:pt idx="17" formatCode="0">
                  <c:v>54.104477611940297</c:v>
                </c:pt>
                <c:pt idx="18" formatCode="0">
                  <c:v>52.4</c:v>
                </c:pt>
                <c:pt idx="19" formatCode="0">
                  <c:v>70.099999999999994</c:v>
                </c:pt>
                <c:pt idx="20" formatCode="0">
                  <c:v>69.599999999999994</c:v>
                </c:pt>
                <c:pt idx="21" formatCode="0">
                  <c:v>43</c:v>
                </c:pt>
                <c:pt idx="22" formatCode="0">
                  <c:v>63</c:v>
                </c:pt>
                <c:pt idx="23" formatCode="0">
                  <c:v>43</c:v>
                </c:pt>
                <c:pt idx="24" formatCode="0">
                  <c:v>43</c:v>
                </c:pt>
                <c:pt idx="25" formatCode="0">
                  <c:v>72</c:v>
                </c:pt>
                <c:pt idx="26" formatCode="0">
                  <c:v>54</c:v>
                </c:pt>
                <c:pt idx="27" formatCode="0">
                  <c:v>67</c:v>
                </c:pt>
                <c:pt idx="28" formatCode="0">
                  <c:v>76</c:v>
                </c:pt>
                <c:pt idx="29">
                  <c:v>59</c:v>
                </c:pt>
                <c:pt idx="30">
                  <c:v>64</c:v>
                </c:pt>
                <c:pt idx="31">
                  <c:v>67</c:v>
                </c:pt>
                <c:pt idx="32">
                  <c:v>68</c:v>
                </c:pt>
                <c:pt idx="33" formatCode="0">
                  <c:v>75.599999999999994</c:v>
                </c:pt>
                <c:pt idx="34" formatCode="0">
                  <c:v>79.7</c:v>
                </c:pt>
                <c:pt idx="35" formatCode="0">
                  <c:v>27.252252252252251</c:v>
                </c:pt>
                <c:pt idx="36" formatCode="0">
                  <c:v>53.257790368271948</c:v>
                </c:pt>
                <c:pt idx="37" formatCode="0">
                  <c:v>67.5</c:v>
                </c:pt>
                <c:pt idx="38" formatCode="0">
                  <c:v>75</c:v>
                </c:pt>
                <c:pt idx="39" formatCode="0">
                  <c:v>72</c:v>
                </c:pt>
                <c:pt idx="40">
                  <c:v>64</c:v>
                </c:pt>
                <c:pt idx="41" formatCode="0">
                  <c:v>82</c:v>
                </c:pt>
                <c:pt idx="42" formatCode="0">
                  <c:v>88.6</c:v>
                </c:pt>
                <c:pt idx="43">
                  <c:v>57</c:v>
                </c:pt>
                <c:pt idx="44">
                  <c:v>74</c:v>
                </c:pt>
                <c:pt idx="45" formatCode="0">
                  <c:v>88</c:v>
                </c:pt>
                <c:pt idx="46" formatCode="0">
                  <c:v>91</c:v>
                </c:pt>
                <c:pt idx="47" formatCode="0">
                  <c:v>66.400000000000006</c:v>
                </c:pt>
                <c:pt idx="48" formatCode="0">
                  <c:v>84</c:v>
                </c:pt>
                <c:pt idx="49" formatCode="0">
                  <c:v>90</c:v>
                </c:pt>
                <c:pt idx="50" formatCode="0">
                  <c:v>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7E-4335-8BD2-5B2E8AA94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554191"/>
        <c:axId val="448510095"/>
      </c:scatterChart>
      <c:valAx>
        <c:axId val="448554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510095"/>
        <c:crosses val="autoZero"/>
        <c:crossBetween val="midCat"/>
      </c:valAx>
      <c:valAx>
        <c:axId val="4485100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5541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Analysis!$AB$1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Analysis!$AA$2:$AA$48</c:f>
              <c:numCache>
                <c:formatCode>0.00</c:formatCode>
                <c:ptCount val="47"/>
                <c:pt idx="0">
                  <c:v>4.306666666666667E-2</c:v>
                </c:pt>
                <c:pt idx="1">
                  <c:v>5.167999999999999E-2</c:v>
                </c:pt>
                <c:pt idx="2">
                  <c:v>5.167999999999999E-2</c:v>
                </c:pt>
                <c:pt idx="3">
                  <c:v>6.4599999999999991E-2</c:v>
                </c:pt>
                <c:pt idx="4">
                  <c:v>6.4599999999999991E-2</c:v>
                </c:pt>
                <c:pt idx="5">
                  <c:v>8.613333333333334E-2</c:v>
                </c:pt>
                <c:pt idx="6">
                  <c:v>8.613333333333334E-2</c:v>
                </c:pt>
                <c:pt idx="7">
                  <c:v>0.12919999999999998</c:v>
                </c:pt>
                <c:pt idx="8">
                  <c:v>0.18</c:v>
                </c:pt>
                <c:pt idx="9">
                  <c:v>0.18749999999999997</c:v>
                </c:pt>
                <c:pt idx="10">
                  <c:v>0.18749999999999997</c:v>
                </c:pt>
                <c:pt idx="11" formatCode="0.0">
                  <c:v>0.21199999999999999</c:v>
                </c:pt>
                <c:pt idx="12">
                  <c:v>0.24666666666666673</c:v>
                </c:pt>
                <c:pt idx="13">
                  <c:v>0.31</c:v>
                </c:pt>
                <c:pt idx="14" formatCode="0.0">
                  <c:v>0.318</c:v>
                </c:pt>
                <c:pt idx="15" formatCode="General">
                  <c:v>0.32100000000000001</c:v>
                </c:pt>
                <c:pt idx="16">
                  <c:v>0.33200000000000002</c:v>
                </c:pt>
                <c:pt idx="17">
                  <c:v>0.35062500000000002</c:v>
                </c:pt>
                <c:pt idx="18">
                  <c:v>0.37599999999999995</c:v>
                </c:pt>
                <c:pt idx="19">
                  <c:v>0.378</c:v>
                </c:pt>
                <c:pt idx="20">
                  <c:v>0.38</c:v>
                </c:pt>
                <c:pt idx="21">
                  <c:v>0.40432432432432425</c:v>
                </c:pt>
                <c:pt idx="22">
                  <c:v>0.41100000000000003</c:v>
                </c:pt>
                <c:pt idx="23">
                  <c:v>0.41100000000000003</c:v>
                </c:pt>
                <c:pt idx="24" formatCode="General">
                  <c:v>0.436</c:v>
                </c:pt>
                <c:pt idx="25">
                  <c:v>0.43680000000000008</c:v>
                </c:pt>
                <c:pt idx="26">
                  <c:v>0.46044444444444443</c:v>
                </c:pt>
                <c:pt idx="27">
                  <c:v>0.46195000000000003</c:v>
                </c:pt>
                <c:pt idx="28">
                  <c:v>0.47119999999999995</c:v>
                </c:pt>
                <c:pt idx="29">
                  <c:v>0.49</c:v>
                </c:pt>
                <c:pt idx="30">
                  <c:v>0.57999999999999996</c:v>
                </c:pt>
                <c:pt idx="31">
                  <c:v>0.58099999999999996</c:v>
                </c:pt>
                <c:pt idx="32" formatCode="0.0">
                  <c:v>0.63600000000000001</c:v>
                </c:pt>
                <c:pt idx="33">
                  <c:v>0.66900000000000004</c:v>
                </c:pt>
                <c:pt idx="34">
                  <c:v>0.74999999999999989</c:v>
                </c:pt>
                <c:pt idx="35">
                  <c:v>0.75199999999999989</c:v>
                </c:pt>
                <c:pt idx="36">
                  <c:v>0.84720000000000006</c:v>
                </c:pt>
                <c:pt idx="37" formatCode="0.0">
                  <c:v>0.875</c:v>
                </c:pt>
                <c:pt idx="38" formatCode="General">
                  <c:v>0.88500000000000001</c:v>
                </c:pt>
                <c:pt idx="39">
                  <c:v>0.95799999999999996</c:v>
                </c:pt>
                <c:pt idx="40">
                  <c:v>1.0656000000000001</c:v>
                </c:pt>
                <c:pt idx="41" formatCode="General">
                  <c:v>1.3</c:v>
                </c:pt>
                <c:pt idx="42">
                  <c:v>1.3</c:v>
                </c:pt>
                <c:pt idx="43">
                  <c:v>1.6</c:v>
                </c:pt>
                <c:pt idx="44" formatCode="0.0">
                  <c:v>1.8</c:v>
                </c:pt>
                <c:pt idx="45">
                  <c:v>2.1</c:v>
                </c:pt>
              </c:numCache>
            </c:numRef>
          </c:xVal>
          <c:yVal>
            <c:numRef>
              <c:f>Analysis!$AB$2:$AB$48</c:f>
              <c:numCache>
                <c:formatCode>General</c:formatCode>
                <c:ptCount val="47"/>
                <c:pt idx="0">
                  <c:v>62</c:v>
                </c:pt>
                <c:pt idx="1">
                  <c:v>61</c:v>
                </c:pt>
                <c:pt idx="2">
                  <c:v>68</c:v>
                </c:pt>
                <c:pt idx="3">
                  <c:v>55</c:v>
                </c:pt>
                <c:pt idx="4">
                  <c:v>67</c:v>
                </c:pt>
                <c:pt idx="5">
                  <c:v>51</c:v>
                </c:pt>
                <c:pt idx="6">
                  <c:v>64</c:v>
                </c:pt>
                <c:pt idx="7">
                  <c:v>59</c:v>
                </c:pt>
                <c:pt idx="8" formatCode="0">
                  <c:v>52.4</c:v>
                </c:pt>
                <c:pt idx="9">
                  <c:v>56</c:v>
                </c:pt>
                <c:pt idx="10">
                  <c:v>60</c:v>
                </c:pt>
                <c:pt idx="11" formatCode="0">
                  <c:v>54.104477611940297</c:v>
                </c:pt>
                <c:pt idx="12" formatCode="0">
                  <c:v>69.599999999999994</c:v>
                </c:pt>
                <c:pt idx="13" formatCode="0">
                  <c:v>63</c:v>
                </c:pt>
                <c:pt idx="14" formatCode="0">
                  <c:v>58.536585365853654</c:v>
                </c:pt>
                <c:pt idx="15">
                  <c:v>74</c:v>
                </c:pt>
                <c:pt idx="16" formatCode="0">
                  <c:v>24.8</c:v>
                </c:pt>
                <c:pt idx="17" formatCode="0">
                  <c:v>67</c:v>
                </c:pt>
                <c:pt idx="18">
                  <c:v>53</c:v>
                </c:pt>
                <c:pt idx="19">
                  <c:v>56</c:v>
                </c:pt>
                <c:pt idx="20" formatCode="0">
                  <c:v>84</c:v>
                </c:pt>
                <c:pt idx="21" formatCode="0">
                  <c:v>72</c:v>
                </c:pt>
                <c:pt idx="22" formatCode="0">
                  <c:v>76</c:v>
                </c:pt>
                <c:pt idx="23" formatCode="0">
                  <c:v>88.6</c:v>
                </c:pt>
                <c:pt idx="24">
                  <c:v>64</c:v>
                </c:pt>
                <c:pt idx="25" formatCode="0">
                  <c:v>91</c:v>
                </c:pt>
                <c:pt idx="26" formatCode="0">
                  <c:v>54</c:v>
                </c:pt>
                <c:pt idx="27" formatCode="0">
                  <c:v>70.099999999999994</c:v>
                </c:pt>
                <c:pt idx="28" formatCode="0">
                  <c:v>88</c:v>
                </c:pt>
                <c:pt idx="29" formatCode="0">
                  <c:v>75</c:v>
                </c:pt>
                <c:pt idx="30" formatCode="0">
                  <c:v>90</c:v>
                </c:pt>
                <c:pt idx="31" formatCode="0">
                  <c:v>43</c:v>
                </c:pt>
                <c:pt idx="32" formatCode="0">
                  <c:v>56.000000000000007</c:v>
                </c:pt>
                <c:pt idx="33" formatCode="0">
                  <c:v>82</c:v>
                </c:pt>
                <c:pt idx="34">
                  <c:v>50</c:v>
                </c:pt>
                <c:pt idx="35">
                  <c:v>48</c:v>
                </c:pt>
                <c:pt idx="36" formatCode="0">
                  <c:v>53.257790368271948</c:v>
                </c:pt>
                <c:pt idx="37" formatCode="0">
                  <c:v>72</c:v>
                </c:pt>
                <c:pt idx="38">
                  <c:v>57</c:v>
                </c:pt>
                <c:pt idx="39" formatCode="0">
                  <c:v>79.7</c:v>
                </c:pt>
                <c:pt idx="40" formatCode="0">
                  <c:v>27.252252252252251</c:v>
                </c:pt>
                <c:pt idx="41" formatCode="0">
                  <c:v>43</c:v>
                </c:pt>
                <c:pt idx="42" formatCode="0">
                  <c:v>75.599999999999994</c:v>
                </c:pt>
                <c:pt idx="43" formatCode="0">
                  <c:v>84</c:v>
                </c:pt>
                <c:pt idx="44" formatCode="0">
                  <c:v>43</c:v>
                </c:pt>
                <c:pt idx="45" formatCode="0">
                  <c:v>67.5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3E-4450-BFD3-A23FDB4D1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8460159"/>
        <c:axId val="628458079"/>
      </c:scatterChart>
      <c:valAx>
        <c:axId val="628460159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458079"/>
        <c:crosses val="autoZero"/>
        <c:crossBetween val="midCat"/>
      </c:valAx>
      <c:valAx>
        <c:axId val="6284580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4601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Analysis!$AQ$2:$AQ$47</c:f>
              <c:numCache>
                <c:formatCode>General</c:formatCode>
                <c:ptCount val="46"/>
                <c:pt idx="0">
                  <c:v>55.814400000000006</c:v>
                </c:pt>
                <c:pt idx="1">
                  <c:v>55.814399999999992</c:v>
                </c:pt>
                <c:pt idx="2">
                  <c:v>124.03199999999998</c:v>
                </c:pt>
                <c:pt idx="3">
                  <c:v>55.814399999999992</c:v>
                </c:pt>
                <c:pt idx="4">
                  <c:v>124.03199999999998</c:v>
                </c:pt>
                <c:pt idx="5">
                  <c:v>55.814400000000006</c:v>
                </c:pt>
                <c:pt idx="6">
                  <c:v>124.03200000000001</c:v>
                </c:pt>
                <c:pt idx="7">
                  <c:v>124.03199999999998</c:v>
                </c:pt>
                <c:pt idx="8">
                  <c:v>218.59199999999996</c:v>
                </c:pt>
                <c:pt idx="9">
                  <c:v>134.99999999999997</c:v>
                </c:pt>
                <c:pt idx="10">
                  <c:v>134.99999999999997</c:v>
                </c:pt>
                <c:pt idx="11">
                  <c:v>122.11199999999999</c:v>
                </c:pt>
                <c:pt idx="12">
                  <c:v>294.81600000000009</c:v>
                </c:pt>
                <c:pt idx="13">
                  <c:v>53.01</c:v>
                </c:pt>
                <c:pt idx="14">
                  <c:v>122.11199999999999</c:v>
                </c:pt>
                <c:pt idx="15">
                  <c:v>642.51360000000011</c:v>
                </c:pt>
                <c:pt idx="16">
                  <c:v>135.72160000000002</c:v>
                </c:pt>
                <c:pt idx="17">
                  <c:v>85.272000000000006</c:v>
                </c:pt>
                <c:pt idx="18">
                  <c:v>135.35999999999999</c:v>
                </c:pt>
                <c:pt idx="19">
                  <c:v>136.08000000000001</c:v>
                </c:pt>
                <c:pt idx="20">
                  <c:v>91.314000000000007</c:v>
                </c:pt>
                <c:pt idx="21">
                  <c:v>107.71199999999997</c:v>
                </c:pt>
                <c:pt idx="22">
                  <c:v>187.41600000000003</c:v>
                </c:pt>
                <c:pt idx="23">
                  <c:v>256.464</c:v>
                </c:pt>
                <c:pt idx="24">
                  <c:v>504.36480000000006</c:v>
                </c:pt>
                <c:pt idx="25">
                  <c:v>373.46400000000006</c:v>
                </c:pt>
                <c:pt idx="26">
                  <c:v>229.99199999999999</c:v>
                </c:pt>
                <c:pt idx="27">
                  <c:v>368.08176000000003</c:v>
                </c:pt>
                <c:pt idx="28">
                  <c:v>398.63519999999994</c:v>
                </c:pt>
                <c:pt idx="29">
                  <c:v>100.548</c:v>
                </c:pt>
                <c:pt idx="30">
                  <c:v>417.59999999999997</c:v>
                </c:pt>
                <c:pt idx="31">
                  <c:v>249.59759999999997</c:v>
                </c:pt>
                <c:pt idx="32">
                  <c:v>122.11199999999999</c:v>
                </c:pt>
                <c:pt idx="33">
                  <c:v>403.00560000000007</c:v>
                </c:pt>
                <c:pt idx="34">
                  <c:v>134.99999999999997</c:v>
                </c:pt>
                <c:pt idx="35">
                  <c:v>135.35999999999999</c:v>
                </c:pt>
                <c:pt idx="36">
                  <c:v>198.24480000000003</c:v>
                </c:pt>
                <c:pt idx="37">
                  <c:v>577.72799999999995</c:v>
                </c:pt>
                <c:pt idx="38">
                  <c:v>401.78520000000003</c:v>
                </c:pt>
                <c:pt idx="39">
                  <c:v>249.35040000000004</c:v>
                </c:pt>
                <c:pt idx="40">
                  <c:v>280.8</c:v>
                </c:pt>
                <c:pt idx="41">
                  <c:v>358.8</c:v>
                </c:pt>
                <c:pt idx="42">
                  <c:v>336</c:v>
                </c:pt>
                <c:pt idx="43">
                  <c:v>403.20000000000005</c:v>
                </c:pt>
                <c:pt idx="44">
                  <c:v>388.8</c:v>
                </c:pt>
                <c:pt idx="45">
                  <c:v>388.8</c:v>
                </c:pt>
              </c:numCache>
            </c:numRef>
          </c:xVal>
          <c:yVal>
            <c:numRef>
              <c:f>Analysis!$AR$2:$AR$47</c:f>
              <c:numCache>
                <c:formatCode>General</c:formatCode>
                <c:ptCount val="46"/>
                <c:pt idx="0">
                  <c:v>62</c:v>
                </c:pt>
                <c:pt idx="1">
                  <c:v>61</c:v>
                </c:pt>
                <c:pt idx="2">
                  <c:v>68</c:v>
                </c:pt>
                <c:pt idx="3">
                  <c:v>55</c:v>
                </c:pt>
                <c:pt idx="4">
                  <c:v>67</c:v>
                </c:pt>
                <c:pt idx="5">
                  <c:v>51</c:v>
                </c:pt>
                <c:pt idx="6">
                  <c:v>64</c:v>
                </c:pt>
                <c:pt idx="7">
                  <c:v>59</c:v>
                </c:pt>
                <c:pt idx="8" formatCode="0">
                  <c:v>52.4</c:v>
                </c:pt>
                <c:pt idx="9">
                  <c:v>56</c:v>
                </c:pt>
                <c:pt idx="10">
                  <c:v>60</c:v>
                </c:pt>
                <c:pt idx="11" formatCode="0">
                  <c:v>54.104477611940297</c:v>
                </c:pt>
                <c:pt idx="12" formatCode="0">
                  <c:v>69.599999999999994</c:v>
                </c:pt>
                <c:pt idx="13" formatCode="0">
                  <c:v>63</c:v>
                </c:pt>
                <c:pt idx="14" formatCode="0">
                  <c:v>58.536585365853654</c:v>
                </c:pt>
                <c:pt idx="15">
                  <c:v>74</c:v>
                </c:pt>
                <c:pt idx="16" formatCode="0">
                  <c:v>24.8</c:v>
                </c:pt>
                <c:pt idx="17" formatCode="0">
                  <c:v>67</c:v>
                </c:pt>
                <c:pt idx="18">
                  <c:v>53</c:v>
                </c:pt>
                <c:pt idx="19">
                  <c:v>56</c:v>
                </c:pt>
                <c:pt idx="20" formatCode="0">
                  <c:v>84</c:v>
                </c:pt>
                <c:pt idx="21" formatCode="0">
                  <c:v>72</c:v>
                </c:pt>
                <c:pt idx="22" formatCode="0">
                  <c:v>76</c:v>
                </c:pt>
                <c:pt idx="23" formatCode="0">
                  <c:v>88.6</c:v>
                </c:pt>
                <c:pt idx="24">
                  <c:v>64</c:v>
                </c:pt>
                <c:pt idx="25" formatCode="0">
                  <c:v>91</c:v>
                </c:pt>
                <c:pt idx="26" formatCode="0">
                  <c:v>54</c:v>
                </c:pt>
                <c:pt idx="27" formatCode="0">
                  <c:v>70.099999999999994</c:v>
                </c:pt>
                <c:pt idx="28" formatCode="0">
                  <c:v>88</c:v>
                </c:pt>
                <c:pt idx="29" formatCode="0">
                  <c:v>75</c:v>
                </c:pt>
                <c:pt idx="30" formatCode="0">
                  <c:v>90</c:v>
                </c:pt>
                <c:pt idx="31" formatCode="0">
                  <c:v>43</c:v>
                </c:pt>
                <c:pt idx="32" formatCode="0">
                  <c:v>56.000000000000007</c:v>
                </c:pt>
                <c:pt idx="33" formatCode="0">
                  <c:v>82</c:v>
                </c:pt>
                <c:pt idx="34">
                  <c:v>50</c:v>
                </c:pt>
                <c:pt idx="35">
                  <c:v>48</c:v>
                </c:pt>
                <c:pt idx="36" formatCode="0">
                  <c:v>53.257790368271948</c:v>
                </c:pt>
                <c:pt idx="37">
                  <c:v>57</c:v>
                </c:pt>
                <c:pt idx="38" formatCode="0">
                  <c:v>79.7</c:v>
                </c:pt>
                <c:pt idx="39" formatCode="0">
                  <c:v>27.252252252252251</c:v>
                </c:pt>
                <c:pt idx="40" formatCode="0">
                  <c:v>43</c:v>
                </c:pt>
                <c:pt idx="41" formatCode="0">
                  <c:v>75.599999999999994</c:v>
                </c:pt>
                <c:pt idx="42" formatCode="0">
                  <c:v>84</c:v>
                </c:pt>
                <c:pt idx="43" formatCode="0">
                  <c:v>67.5</c:v>
                </c:pt>
                <c:pt idx="44" formatCode="0">
                  <c:v>72</c:v>
                </c:pt>
                <c:pt idx="45" formatCode="0">
                  <c:v>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C5-4F71-A77E-68B2FAFC6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180735"/>
        <c:axId val="986184895"/>
      </c:scatterChart>
      <c:valAx>
        <c:axId val="98618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184895"/>
        <c:crosses val="autoZero"/>
        <c:crossBetween val="midCat"/>
      </c:valAx>
      <c:valAx>
        <c:axId val="986184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180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Analysis!$BK$1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Analysis!$BH$2:$BH$50</c:f>
              <c:numCache>
                <c:formatCode>General</c:formatCode>
                <c:ptCount val="49"/>
                <c:pt idx="0">
                  <c:v>960</c:v>
                </c:pt>
                <c:pt idx="1">
                  <c:v>960</c:v>
                </c:pt>
                <c:pt idx="2">
                  <c:v>960</c:v>
                </c:pt>
                <c:pt idx="3" formatCode="0.00">
                  <c:v>411</c:v>
                </c:pt>
                <c:pt idx="4" formatCode="0.00">
                  <c:v>317.95199999999994</c:v>
                </c:pt>
                <c:pt idx="5" formatCode="0.00">
                  <c:v>323</c:v>
                </c:pt>
                <c:pt idx="6" formatCode="0.00">
                  <c:v>407</c:v>
                </c:pt>
                <c:pt idx="7">
                  <c:v>760</c:v>
                </c:pt>
                <c:pt idx="8" formatCode="0.00">
                  <c:v>740</c:v>
                </c:pt>
                <c:pt idx="9" formatCode="0.00">
                  <c:v>923.9</c:v>
                </c:pt>
                <c:pt idx="10" formatCode="0.00">
                  <c:v>258.39999999999998</c:v>
                </c:pt>
                <c:pt idx="11" formatCode="0.00">
                  <c:v>258.39999999999998</c:v>
                </c:pt>
                <c:pt idx="12" formatCode="0.00">
                  <c:v>258.39999999999998</c:v>
                </c:pt>
                <c:pt idx="13" formatCode="0.00">
                  <c:v>258.39999999999998</c:v>
                </c:pt>
                <c:pt idx="14" formatCode="0.00">
                  <c:v>258.39999999999998</c:v>
                </c:pt>
                <c:pt idx="15" formatCode="0.00">
                  <c:v>258.39999999999998</c:v>
                </c:pt>
                <c:pt idx="16" formatCode="0.00">
                  <c:v>258.39999999999998</c:v>
                </c:pt>
                <c:pt idx="17" formatCode="0.00">
                  <c:v>258.39999999999998</c:v>
                </c:pt>
                <c:pt idx="18" formatCode="0.00">
                  <c:v>375</c:v>
                </c:pt>
                <c:pt idx="19" formatCode="0.00">
                  <c:v>376</c:v>
                </c:pt>
                <c:pt idx="20" formatCode="0.00">
                  <c:v>376</c:v>
                </c:pt>
                <c:pt idx="21" formatCode="0.00">
                  <c:v>375</c:v>
                </c:pt>
                <c:pt idx="22" formatCode="0.00">
                  <c:v>378</c:v>
                </c:pt>
                <c:pt idx="23" formatCode="0.00">
                  <c:v>375</c:v>
                </c:pt>
                <c:pt idx="24" formatCode="0.00">
                  <c:v>581</c:v>
                </c:pt>
                <c:pt idx="25" formatCode="0.00">
                  <c:v>518</c:v>
                </c:pt>
                <c:pt idx="26" formatCode="0.0">
                  <c:v>871.5</c:v>
                </c:pt>
                <c:pt idx="27" formatCode="0.0">
                  <c:v>871.5</c:v>
                </c:pt>
                <c:pt idx="28" formatCode="0.0">
                  <c:v>268</c:v>
                </c:pt>
                <c:pt idx="29" formatCode="0.0">
                  <c:v>246</c:v>
                </c:pt>
                <c:pt idx="30" formatCode="0.0">
                  <c:v>325</c:v>
                </c:pt>
                <c:pt idx="31" formatCode="0.00">
                  <c:v>451</c:v>
                </c:pt>
                <c:pt idx="32" formatCode="0.00">
                  <c:v>451</c:v>
                </c:pt>
                <c:pt idx="33" formatCode="0.00">
                  <c:v>580</c:v>
                </c:pt>
                <c:pt idx="34" formatCode="0.00">
                  <c:v>411</c:v>
                </c:pt>
                <c:pt idx="35" formatCode="0.00">
                  <c:v>546</c:v>
                </c:pt>
                <c:pt idx="36" formatCode="0.00">
                  <c:v>589</c:v>
                </c:pt>
                <c:pt idx="37" formatCode="0.00">
                  <c:v>444</c:v>
                </c:pt>
                <c:pt idx="38" formatCode="0.00">
                  <c:v>353</c:v>
                </c:pt>
                <c:pt idx="39" formatCode="0.00">
                  <c:v>187</c:v>
                </c:pt>
                <c:pt idx="40" formatCode="0.00">
                  <c:v>187</c:v>
                </c:pt>
                <c:pt idx="41" formatCode="0.00">
                  <c:v>187</c:v>
                </c:pt>
                <c:pt idx="42" formatCode="0.00">
                  <c:v>187</c:v>
                </c:pt>
                <c:pt idx="43" formatCode="0.00">
                  <c:v>187</c:v>
                </c:pt>
                <c:pt idx="44" formatCode="0.00">
                  <c:v>400</c:v>
                </c:pt>
                <c:pt idx="45" formatCode="0.00">
                  <c:v>586.66666666666652</c:v>
                </c:pt>
                <c:pt idx="46" formatCode="0.00">
                  <c:v>657.63546798029574</c:v>
                </c:pt>
                <c:pt idx="47" formatCode="0.00">
                  <c:v>633.19672131147513</c:v>
                </c:pt>
                <c:pt idx="48" formatCode="0.00">
                  <c:v>696.92307692307702</c:v>
                </c:pt>
              </c:numCache>
            </c:numRef>
          </c:xVal>
          <c:yVal>
            <c:numRef>
              <c:f>Analysis!$BK$2:$BK$50</c:f>
              <c:numCache>
                <c:formatCode>General</c:formatCode>
                <c:ptCount val="49"/>
                <c:pt idx="0">
                  <c:v>248</c:v>
                </c:pt>
                <c:pt idx="1">
                  <c:v>314</c:v>
                </c:pt>
                <c:pt idx="2">
                  <c:v>380</c:v>
                </c:pt>
                <c:pt idx="3">
                  <c:v>98.639999999999986</c:v>
                </c:pt>
                <c:pt idx="4">
                  <c:v>151.34515199999996</c:v>
                </c:pt>
                <c:pt idx="5">
                  <c:v>250</c:v>
                </c:pt>
                <c:pt idx="6">
                  <c:v>306</c:v>
                </c:pt>
                <c:pt idx="7">
                  <c:v>433.2</c:v>
                </c:pt>
                <c:pt idx="8">
                  <c:v>224.96000000000004</c:v>
                </c:pt>
                <c:pt idx="9">
                  <c:v>276.24610000000007</c:v>
                </c:pt>
                <c:pt idx="10">
                  <c:v>105.94399999999999</c:v>
                </c:pt>
                <c:pt idx="11">
                  <c:v>93.024000000000001</c:v>
                </c:pt>
                <c:pt idx="12">
                  <c:v>85.271999999999991</c:v>
                </c:pt>
                <c:pt idx="13">
                  <c:v>82.687999999999988</c:v>
                </c:pt>
                <c:pt idx="14">
                  <c:v>126.61599999999999</c:v>
                </c:pt>
                <c:pt idx="15">
                  <c:v>116.27999999999997</c:v>
                </c:pt>
                <c:pt idx="16">
                  <c:v>100.77599999999998</c:v>
                </c:pt>
                <c:pt idx="17">
                  <c:v>98.191999999999979</c:v>
                </c:pt>
                <c:pt idx="18">
                  <c:v>164.99999999999997</c:v>
                </c:pt>
                <c:pt idx="19">
                  <c:v>176.72</c:v>
                </c:pt>
                <c:pt idx="20">
                  <c:v>195.52</c:v>
                </c:pt>
                <c:pt idx="21">
                  <c:v>150</c:v>
                </c:pt>
                <c:pt idx="22">
                  <c:v>166.32</c:v>
                </c:pt>
                <c:pt idx="23">
                  <c:v>187.5</c:v>
                </c:pt>
                <c:pt idx="24">
                  <c:v>331.17</c:v>
                </c:pt>
                <c:pt idx="25">
                  <c:v>238.27999999999997</c:v>
                </c:pt>
                <c:pt idx="26">
                  <c:v>496.755</c:v>
                </c:pt>
                <c:pt idx="27">
                  <c:v>244.01999999999998</c:v>
                </c:pt>
                <c:pt idx="28">
                  <c:v>123</c:v>
                </c:pt>
                <c:pt idx="29">
                  <c:v>102</c:v>
                </c:pt>
                <c:pt idx="30">
                  <c:v>142.99999999999997</c:v>
                </c:pt>
                <c:pt idx="31">
                  <c:v>239</c:v>
                </c:pt>
                <c:pt idx="32">
                  <c:v>245</c:v>
                </c:pt>
                <c:pt idx="33">
                  <c:v>70</c:v>
                </c:pt>
                <c:pt idx="34">
                  <c:v>44.1</c:v>
                </c:pt>
                <c:pt idx="35">
                  <c:v>45</c:v>
                </c:pt>
                <c:pt idx="36">
                  <c:v>75</c:v>
                </c:pt>
                <c:pt idx="37">
                  <c:v>323</c:v>
                </c:pt>
                <c:pt idx="38">
                  <c:v>165</c:v>
                </c:pt>
                <c:pt idx="39">
                  <c:v>29.920000000000016</c:v>
                </c:pt>
                <c:pt idx="40">
                  <c:v>61.709999999999994</c:v>
                </c:pt>
                <c:pt idx="41">
                  <c:v>52.360000000000014</c:v>
                </c:pt>
                <c:pt idx="42">
                  <c:v>69.19</c:v>
                </c:pt>
                <c:pt idx="43">
                  <c:v>46.75</c:v>
                </c:pt>
                <c:pt idx="44">
                  <c:v>44</c:v>
                </c:pt>
                <c:pt idx="45">
                  <c:v>105.6</c:v>
                </c:pt>
                <c:pt idx="46">
                  <c:v>133.5</c:v>
                </c:pt>
                <c:pt idx="47">
                  <c:v>154.5</c:v>
                </c:pt>
                <c:pt idx="48">
                  <c:v>226.5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8A-4717-A0AC-5EFC9CD33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41167"/>
        <c:axId val="993232847"/>
      </c:scatterChart>
      <c:valAx>
        <c:axId val="993241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32847"/>
        <c:crosses val="autoZero"/>
        <c:crossBetween val="midCat"/>
      </c:valAx>
      <c:valAx>
        <c:axId val="9932328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411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Analysis!$BK$1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Analysis!$BJ$2:$BJ$50</c:f>
              <c:numCache>
                <c:formatCode>General</c:formatCode>
                <c:ptCount val="49"/>
                <c:pt idx="0">
                  <c:v>72</c:v>
                </c:pt>
                <c:pt idx="1">
                  <c:v>48</c:v>
                </c:pt>
                <c:pt idx="2">
                  <c:v>24</c:v>
                </c:pt>
                <c:pt idx="3">
                  <c:v>24</c:v>
                </c:pt>
                <c:pt idx="4">
                  <c:v>73.599999999999994</c:v>
                </c:pt>
                <c:pt idx="5">
                  <c:v>26</c:v>
                </c:pt>
                <c:pt idx="6">
                  <c:v>28</c:v>
                </c:pt>
                <c:pt idx="7">
                  <c:v>12</c:v>
                </c:pt>
                <c:pt idx="8">
                  <c:v>72</c:v>
                </c:pt>
                <c:pt idx="9">
                  <c:v>48</c:v>
                </c:pt>
                <c:pt idx="10">
                  <c:v>48</c:v>
                </c:pt>
                <c:pt idx="11">
                  <c:v>72</c:v>
                </c:pt>
                <c:pt idx="12">
                  <c:v>96</c:v>
                </c:pt>
                <c:pt idx="13">
                  <c:v>120</c:v>
                </c:pt>
                <c:pt idx="14">
                  <c:v>72</c:v>
                </c:pt>
                <c:pt idx="15">
                  <c:v>96</c:v>
                </c:pt>
                <c:pt idx="16">
                  <c:v>120</c:v>
                </c:pt>
                <c:pt idx="17">
                  <c:v>144</c:v>
                </c:pt>
                <c:pt idx="18">
                  <c:v>48</c:v>
                </c:pt>
                <c:pt idx="19">
                  <c:v>24</c:v>
                </c:pt>
                <c:pt idx="20">
                  <c:v>12</c:v>
                </c:pt>
                <c:pt idx="21">
                  <c:v>48</c:v>
                </c:pt>
                <c:pt idx="22">
                  <c:v>24</c:v>
                </c:pt>
                <c:pt idx="23">
                  <c:v>12</c:v>
                </c:pt>
                <c:pt idx="24">
                  <c:v>24</c:v>
                </c:pt>
                <c:pt idx="25">
                  <c:v>27</c:v>
                </c:pt>
                <c:pt idx="26">
                  <c:v>12</c:v>
                </c:pt>
                <c:pt idx="27">
                  <c:v>24</c:v>
                </c:pt>
                <c:pt idx="28">
                  <c:v>36</c:v>
                </c:pt>
                <c:pt idx="29">
                  <c:v>24</c:v>
                </c:pt>
                <c:pt idx="30">
                  <c:v>12</c:v>
                </c:pt>
                <c:pt idx="31">
                  <c:v>55.2</c:v>
                </c:pt>
                <c:pt idx="32">
                  <c:v>55.2</c:v>
                </c:pt>
                <c:pt idx="33">
                  <c:v>24</c:v>
                </c:pt>
                <c:pt idx="34">
                  <c:v>24</c:v>
                </c:pt>
                <c:pt idx="35">
                  <c:v>30</c:v>
                </c:pt>
                <c:pt idx="36">
                  <c:v>30</c:v>
                </c:pt>
                <c:pt idx="37">
                  <c:v>10</c:v>
                </c:pt>
                <c:pt idx="38">
                  <c:v>10</c:v>
                </c:pt>
                <c:pt idx="39">
                  <c:v>17.8</c:v>
                </c:pt>
                <c:pt idx="40">
                  <c:v>12.8</c:v>
                </c:pt>
                <c:pt idx="41">
                  <c:v>11.1</c:v>
                </c:pt>
                <c:pt idx="42">
                  <c:v>9.5</c:v>
                </c:pt>
                <c:pt idx="43">
                  <c:v>8.5500000000000007</c:v>
                </c:pt>
                <c:pt idx="44">
                  <c:v>6</c:v>
                </c:pt>
                <c:pt idx="45">
                  <c:v>24</c:v>
                </c:pt>
                <c:pt idx="46">
                  <c:v>18</c:v>
                </c:pt>
                <c:pt idx="47">
                  <c:v>12</c:v>
                </c:pt>
                <c:pt idx="48">
                  <c:v>8</c:v>
                </c:pt>
              </c:numCache>
            </c:numRef>
          </c:xVal>
          <c:yVal>
            <c:numRef>
              <c:f>Analysis!$BK$2:$BK$50</c:f>
              <c:numCache>
                <c:formatCode>General</c:formatCode>
                <c:ptCount val="49"/>
                <c:pt idx="0">
                  <c:v>248</c:v>
                </c:pt>
                <c:pt idx="1">
                  <c:v>314</c:v>
                </c:pt>
                <c:pt idx="2">
                  <c:v>380</c:v>
                </c:pt>
                <c:pt idx="3">
                  <c:v>98.639999999999986</c:v>
                </c:pt>
                <c:pt idx="4">
                  <c:v>151.34515199999996</c:v>
                </c:pt>
                <c:pt idx="5">
                  <c:v>250</c:v>
                </c:pt>
                <c:pt idx="6">
                  <c:v>306</c:v>
                </c:pt>
                <c:pt idx="7">
                  <c:v>433.2</c:v>
                </c:pt>
                <c:pt idx="8">
                  <c:v>224.96000000000004</c:v>
                </c:pt>
                <c:pt idx="9">
                  <c:v>276.24610000000007</c:v>
                </c:pt>
                <c:pt idx="10">
                  <c:v>105.94399999999999</c:v>
                </c:pt>
                <c:pt idx="11">
                  <c:v>93.024000000000001</c:v>
                </c:pt>
                <c:pt idx="12">
                  <c:v>85.271999999999991</c:v>
                </c:pt>
                <c:pt idx="13">
                  <c:v>82.687999999999988</c:v>
                </c:pt>
                <c:pt idx="14">
                  <c:v>126.61599999999999</c:v>
                </c:pt>
                <c:pt idx="15">
                  <c:v>116.27999999999997</c:v>
                </c:pt>
                <c:pt idx="16">
                  <c:v>100.77599999999998</c:v>
                </c:pt>
                <c:pt idx="17">
                  <c:v>98.191999999999979</c:v>
                </c:pt>
                <c:pt idx="18">
                  <c:v>164.99999999999997</c:v>
                </c:pt>
                <c:pt idx="19">
                  <c:v>176.72</c:v>
                </c:pt>
                <c:pt idx="20">
                  <c:v>195.52</c:v>
                </c:pt>
                <c:pt idx="21">
                  <c:v>150</c:v>
                </c:pt>
                <c:pt idx="22">
                  <c:v>166.32</c:v>
                </c:pt>
                <c:pt idx="23">
                  <c:v>187.5</c:v>
                </c:pt>
                <c:pt idx="24">
                  <c:v>331.17</c:v>
                </c:pt>
                <c:pt idx="25">
                  <c:v>238.27999999999997</c:v>
                </c:pt>
                <c:pt idx="26">
                  <c:v>496.755</c:v>
                </c:pt>
                <c:pt idx="27">
                  <c:v>244.01999999999998</c:v>
                </c:pt>
                <c:pt idx="28">
                  <c:v>123</c:v>
                </c:pt>
                <c:pt idx="29">
                  <c:v>102</c:v>
                </c:pt>
                <c:pt idx="30">
                  <c:v>142.99999999999997</c:v>
                </c:pt>
                <c:pt idx="31">
                  <c:v>239</c:v>
                </c:pt>
                <c:pt idx="32">
                  <c:v>245</c:v>
                </c:pt>
                <c:pt idx="33">
                  <c:v>70</c:v>
                </c:pt>
                <c:pt idx="34">
                  <c:v>44.1</c:v>
                </c:pt>
                <c:pt idx="35">
                  <c:v>45</c:v>
                </c:pt>
                <c:pt idx="36">
                  <c:v>75</c:v>
                </c:pt>
                <c:pt idx="37">
                  <c:v>323</c:v>
                </c:pt>
                <c:pt idx="38">
                  <c:v>165</c:v>
                </c:pt>
                <c:pt idx="39">
                  <c:v>29.920000000000016</c:v>
                </c:pt>
                <c:pt idx="40">
                  <c:v>61.709999999999994</c:v>
                </c:pt>
                <c:pt idx="41">
                  <c:v>52.360000000000014</c:v>
                </c:pt>
                <c:pt idx="42">
                  <c:v>69.19</c:v>
                </c:pt>
                <c:pt idx="43">
                  <c:v>46.75</c:v>
                </c:pt>
                <c:pt idx="44">
                  <c:v>44</c:v>
                </c:pt>
                <c:pt idx="45">
                  <c:v>105.6</c:v>
                </c:pt>
                <c:pt idx="46">
                  <c:v>133.5</c:v>
                </c:pt>
                <c:pt idx="47">
                  <c:v>154.5</c:v>
                </c:pt>
                <c:pt idx="48">
                  <c:v>226.5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BC-4670-8C4F-48152C1F5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42415"/>
        <c:axId val="993246575"/>
      </c:scatterChart>
      <c:valAx>
        <c:axId val="99324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46575"/>
        <c:crosses val="autoZero"/>
        <c:crossBetween val="midCat"/>
      </c:valAx>
      <c:valAx>
        <c:axId val="9932465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424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Analysis!$BK$1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Analysis!$BI$2:$BI$50</c:f>
              <c:numCache>
                <c:formatCode>General</c:formatCode>
                <c:ptCount val="49"/>
                <c:pt idx="0">
                  <c:v>27.8</c:v>
                </c:pt>
                <c:pt idx="1">
                  <c:v>24.1</c:v>
                </c:pt>
                <c:pt idx="2">
                  <c:v>27.2</c:v>
                </c:pt>
                <c:pt idx="3">
                  <c:v>19</c:v>
                </c:pt>
                <c:pt idx="4">
                  <c:v>16.5</c:v>
                </c:pt>
                <c:pt idx="5">
                  <c:v>15.7</c:v>
                </c:pt>
                <c:pt idx="6">
                  <c:v>14.6</c:v>
                </c:pt>
                <c:pt idx="7">
                  <c:v>18</c:v>
                </c:pt>
                <c:pt idx="8">
                  <c:v>16.600000000000001</c:v>
                </c:pt>
                <c:pt idx="9">
                  <c:v>16.600000000000001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17.899999999999999</c:v>
                </c:pt>
                <c:pt idx="25">
                  <c:v>18.5</c:v>
                </c:pt>
                <c:pt idx="26">
                  <c:v>18</c:v>
                </c:pt>
                <c:pt idx="27">
                  <c:v>18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 formatCode="0.0">
                  <c:v>10.5</c:v>
                </c:pt>
                <c:pt idx="32" formatCode="0.0">
                  <c:v>10.5</c:v>
                </c:pt>
                <c:pt idx="33" formatCode="0">
                  <c:v>30</c:v>
                </c:pt>
                <c:pt idx="34" formatCode="0.000">
                  <c:v>26</c:v>
                </c:pt>
                <c:pt idx="35" formatCode="0.0">
                  <c:v>28.5</c:v>
                </c:pt>
                <c:pt idx="36" formatCode="0.0">
                  <c:v>28.2</c:v>
                </c:pt>
                <c:pt idx="37" formatCode="0.000">
                  <c:v>23.4</c:v>
                </c:pt>
                <c:pt idx="38" formatCode="0.000">
                  <c:v>23.4</c:v>
                </c:pt>
                <c:pt idx="39" formatCode="0">
                  <c:v>13.5</c:v>
                </c:pt>
                <c:pt idx="40" formatCode="0">
                  <c:v>19</c:v>
                </c:pt>
                <c:pt idx="41" formatCode="0">
                  <c:v>24</c:v>
                </c:pt>
                <c:pt idx="42" formatCode="0">
                  <c:v>18</c:v>
                </c:pt>
                <c:pt idx="43" formatCode="0">
                  <c:v>24</c:v>
                </c:pt>
                <c:pt idx="44" formatCode="0">
                  <c:v>35</c:v>
                </c:pt>
                <c:pt idx="45" formatCode="0">
                  <c:v>25.1</c:v>
                </c:pt>
                <c:pt idx="46" formatCode="0">
                  <c:v>23.3</c:v>
                </c:pt>
                <c:pt idx="47" formatCode="0">
                  <c:v>23</c:v>
                </c:pt>
                <c:pt idx="48" formatCode="0">
                  <c:v>24</c:v>
                </c:pt>
              </c:numCache>
            </c:numRef>
          </c:xVal>
          <c:yVal>
            <c:numRef>
              <c:f>Analysis!$BK$2:$BK$50</c:f>
              <c:numCache>
                <c:formatCode>General</c:formatCode>
                <c:ptCount val="49"/>
                <c:pt idx="0">
                  <c:v>248</c:v>
                </c:pt>
                <c:pt idx="1">
                  <c:v>314</c:v>
                </c:pt>
                <c:pt idx="2">
                  <c:v>380</c:v>
                </c:pt>
                <c:pt idx="3">
                  <c:v>98.639999999999986</c:v>
                </c:pt>
                <c:pt idx="4">
                  <c:v>151.34515199999996</c:v>
                </c:pt>
                <c:pt idx="5">
                  <c:v>250</c:v>
                </c:pt>
                <c:pt idx="6">
                  <c:v>306</c:v>
                </c:pt>
                <c:pt idx="7">
                  <c:v>433.2</c:v>
                </c:pt>
                <c:pt idx="8">
                  <c:v>224.96000000000004</c:v>
                </c:pt>
                <c:pt idx="9">
                  <c:v>276.24610000000007</c:v>
                </c:pt>
                <c:pt idx="10">
                  <c:v>105.94399999999999</c:v>
                </c:pt>
                <c:pt idx="11">
                  <c:v>93.024000000000001</c:v>
                </c:pt>
                <c:pt idx="12">
                  <c:v>85.271999999999991</c:v>
                </c:pt>
                <c:pt idx="13">
                  <c:v>82.687999999999988</c:v>
                </c:pt>
                <c:pt idx="14">
                  <c:v>126.61599999999999</c:v>
                </c:pt>
                <c:pt idx="15">
                  <c:v>116.27999999999997</c:v>
                </c:pt>
                <c:pt idx="16">
                  <c:v>100.77599999999998</c:v>
                </c:pt>
                <c:pt idx="17">
                  <c:v>98.191999999999979</c:v>
                </c:pt>
                <c:pt idx="18">
                  <c:v>164.99999999999997</c:v>
                </c:pt>
                <c:pt idx="19">
                  <c:v>176.72</c:v>
                </c:pt>
                <c:pt idx="20">
                  <c:v>195.52</c:v>
                </c:pt>
                <c:pt idx="21">
                  <c:v>150</c:v>
                </c:pt>
                <c:pt idx="22">
                  <c:v>166.32</c:v>
                </c:pt>
                <c:pt idx="23">
                  <c:v>187.5</c:v>
                </c:pt>
                <c:pt idx="24">
                  <c:v>331.17</c:v>
                </c:pt>
                <c:pt idx="25">
                  <c:v>238.27999999999997</c:v>
                </c:pt>
                <c:pt idx="26">
                  <c:v>496.755</c:v>
                </c:pt>
                <c:pt idx="27">
                  <c:v>244.01999999999998</c:v>
                </c:pt>
                <c:pt idx="28">
                  <c:v>123</c:v>
                </c:pt>
                <c:pt idx="29">
                  <c:v>102</c:v>
                </c:pt>
                <c:pt idx="30">
                  <c:v>142.99999999999997</c:v>
                </c:pt>
                <c:pt idx="31">
                  <c:v>239</c:v>
                </c:pt>
                <c:pt idx="32">
                  <c:v>245</c:v>
                </c:pt>
                <c:pt idx="33">
                  <c:v>70</c:v>
                </c:pt>
                <c:pt idx="34">
                  <c:v>44.1</c:v>
                </c:pt>
                <c:pt idx="35">
                  <c:v>45</c:v>
                </c:pt>
                <c:pt idx="36">
                  <c:v>75</c:v>
                </c:pt>
                <c:pt idx="37">
                  <c:v>323</c:v>
                </c:pt>
                <c:pt idx="38">
                  <c:v>165</c:v>
                </c:pt>
                <c:pt idx="39">
                  <c:v>29.920000000000016</c:v>
                </c:pt>
                <c:pt idx="40">
                  <c:v>61.709999999999994</c:v>
                </c:pt>
                <c:pt idx="41">
                  <c:v>52.360000000000014</c:v>
                </c:pt>
                <c:pt idx="42">
                  <c:v>69.19</c:v>
                </c:pt>
                <c:pt idx="43">
                  <c:v>46.75</c:v>
                </c:pt>
                <c:pt idx="44">
                  <c:v>44</c:v>
                </c:pt>
                <c:pt idx="45">
                  <c:v>105.6</c:v>
                </c:pt>
                <c:pt idx="46">
                  <c:v>133.5</c:v>
                </c:pt>
                <c:pt idx="47">
                  <c:v>154.5</c:v>
                </c:pt>
                <c:pt idx="48">
                  <c:v>226.5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F0-4776-BBC6-04170519B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466623"/>
        <c:axId val="791459967"/>
      </c:scatterChart>
      <c:valAx>
        <c:axId val="791466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1459967"/>
        <c:crosses val="autoZero"/>
        <c:crossBetween val="midCat"/>
      </c:valAx>
      <c:valAx>
        <c:axId val="791459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1466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Analysis!$CH$1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Analysis!$CE$2:$CE$30</c:f>
              <c:numCache>
                <c:formatCode>0</c:formatCode>
                <c:ptCount val="29"/>
                <c:pt idx="0">
                  <c:v>295</c:v>
                </c:pt>
                <c:pt idx="1">
                  <c:v>295</c:v>
                </c:pt>
                <c:pt idx="2">
                  <c:v>295</c:v>
                </c:pt>
                <c:pt idx="3">
                  <c:v>329</c:v>
                </c:pt>
                <c:pt idx="4" formatCode="General">
                  <c:v>277</c:v>
                </c:pt>
                <c:pt idx="5">
                  <c:v>119</c:v>
                </c:pt>
                <c:pt idx="6" formatCode="General">
                  <c:v>139</c:v>
                </c:pt>
                <c:pt idx="7" formatCode="General">
                  <c:v>510</c:v>
                </c:pt>
                <c:pt idx="8">
                  <c:v>310</c:v>
                </c:pt>
                <c:pt idx="9">
                  <c:v>310</c:v>
                </c:pt>
                <c:pt idx="10" formatCode="General">
                  <c:v>178</c:v>
                </c:pt>
                <c:pt idx="11" formatCode="General">
                  <c:v>179</c:v>
                </c:pt>
                <c:pt idx="12" formatCode="General">
                  <c:v>177</c:v>
                </c:pt>
                <c:pt idx="13" formatCode="General">
                  <c:v>177</c:v>
                </c:pt>
                <c:pt idx="14" formatCode="General">
                  <c:v>177</c:v>
                </c:pt>
                <c:pt idx="15" formatCode="General">
                  <c:v>178</c:v>
                </c:pt>
                <c:pt idx="16">
                  <c:v>307</c:v>
                </c:pt>
                <c:pt idx="17">
                  <c:v>311</c:v>
                </c:pt>
                <c:pt idx="18">
                  <c:v>277</c:v>
                </c:pt>
                <c:pt idx="19">
                  <c:v>277</c:v>
                </c:pt>
                <c:pt idx="20">
                  <c:v>303</c:v>
                </c:pt>
                <c:pt idx="21">
                  <c:v>242</c:v>
                </c:pt>
                <c:pt idx="22">
                  <c:v>325.7</c:v>
                </c:pt>
                <c:pt idx="23">
                  <c:v>498.6</c:v>
                </c:pt>
                <c:pt idx="24">
                  <c:v>285.71428571428567</c:v>
                </c:pt>
                <c:pt idx="25">
                  <c:v>297.22222222222211</c:v>
                </c:pt>
                <c:pt idx="26">
                  <c:v>246.76806083650192</c:v>
                </c:pt>
                <c:pt idx="27">
                  <c:v>249.83050847457625</c:v>
                </c:pt>
                <c:pt idx="28">
                  <c:v>217.36334405144697</c:v>
                </c:pt>
              </c:numCache>
            </c:numRef>
          </c:xVal>
          <c:yVal>
            <c:numRef>
              <c:f>Analysis!$CH$2:$CH$30</c:f>
              <c:numCache>
                <c:formatCode>0</c:formatCode>
                <c:ptCount val="29"/>
                <c:pt idx="0">
                  <c:v>71</c:v>
                </c:pt>
                <c:pt idx="1">
                  <c:v>77</c:v>
                </c:pt>
                <c:pt idx="2">
                  <c:v>87</c:v>
                </c:pt>
                <c:pt idx="3">
                  <c:v>52.639999999999986</c:v>
                </c:pt>
                <c:pt idx="4">
                  <c:v>64.540999999999997</c:v>
                </c:pt>
                <c:pt idx="5">
                  <c:v>69</c:v>
                </c:pt>
                <c:pt idx="6">
                  <c:v>81</c:v>
                </c:pt>
                <c:pt idx="7">
                  <c:v>86.700000000000045</c:v>
                </c:pt>
                <c:pt idx="8">
                  <c:v>48.050000000000011</c:v>
                </c:pt>
                <c:pt idx="9">
                  <c:v>44.329999999999984</c:v>
                </c:pt>
                <c:pt idx="10" formatCode="General">
                  <c:v>81.88</c:v>
                </c:pt>
                <c:pt idx="11" formatCode="General">
                  <c:v>89.5</c:v>
                </c:pt>
                <c:pt idx="12" formatCode="General">
                  <c:v>106.2</c:v>
                </c:pt>
                <c:pt idx="13" formatCode="General">
                  <c:v>67.260000000000005</c:v>
                </c:pt>
                <c:pt idx="14" formatCode="General">
                  <c:v>77.88</c:v>
                </c:pt>
                <c:pt idx="15" formatCode="General">
                  <c:v>106.8</c:v>
                </c:pt>
                <c:pt idx="16">
                  <c:v>52.190000000000026</c:v>
                </c:pt>
                <c:pt idx="17">
                  <c:v>27.990000000000009</c:v>
                </c:pt>
                <c:pt idx="18">
                  <c:v>80</c:v>
                </c:pt>
                <c:pt idx="19">
                  <c:v>91</c:v>
                </c:pt>
                <c:pt idx="20">
                  <c:v>30</c:v>
                </c:pt>
                <c:pt idx="21">
                  <c:v>19.600000000000001</c:v>
                </c:pt>
                <c:pt idx="22">
                  <c:v>13.3</c:v>
                </c:pt>
                <c:pt idx="23">
                  <c:v>16.7</c:v>
                </c:pt>
                <c:pt idx="24">
                  <c:v>40</c:v>
                </c:pt>
                <c:pt idx="25">
                  <c:v>53.5</c:v>
                </c:pt>
                <c:pt idx="26">
                  <c:v>64.900000000000006</c:v>
                </c:pt>
                <c:pt idx="27">
                  <c:v>73.7</c:v>
                </c:pt>
                <c:pt idx="28">
                  <c:v>67.599999999999994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40-4899-8848-9222FCA52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6539855"/>
        <c:axId val="1986544015"/>
      </c:scatterChart>
      <c:valAx>
        <c:axId val="1986539855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544015"/>
        <c:crosses val="autoZero"/>
        <c:crossBetween val="midCat"/>
      </c:valAx>
      <c:valAx>
        <c:axId val="19865440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539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257855</xdr:colOff>
      <xdr:row>5</xdr:row>
      <xdr:rowOff>95250</xdr:rowOff>
    </xdr:from>
    <xdr:to>
      <xdr:col>35</xdr:col>
      <xdr:colOff>29255</xdr:colOff>
      <xdr:row>19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08373E-7F8D-7E44-DD02-20E62F22CA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53747</xdr:colOff>
      <xdr:row>30</xdr:row>
      <xdr:rowOff>99332</xdr:rowOff>
    </xdr:from>
    <xdr:to>
      <xdr:col>32</xdr:col>
      <xdr:colOff>505505</xdr:colOff>
      <xdr:row>44</xdr:row>
      <xdr:rowOff>175532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C1C1C-E5D3-EBC5-7902-20C731992E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442912</xdr:colOff>
      <xdr:row>8</xdr:row>
      <xdr:rowOff>114300</xdr:rowOff>
    </xdr:from>
    <xdr:to>
      <xdr:col>22</xdr:col>
      <xdr:colOff>214312</xdr:colOff>
      <xdr:row>23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34F6DFF-3996-349F-F02F-0B1718A4E3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261937</xdr:colOff>
      <xdr:row>8</xdr:row>
      <xdr:rowOff>28575</xdr:rowOff>
    </xdr:from>
    <xdr:to>
      <xdr:col>29</xdr:col>
      <xdr:colOff>33337</xdr:colOff>
      <xdr:row>22</xdr:row>
      <xdr:rowOff>104775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9C9F19-45A6-0F5F-4F17-61E631EAAF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41</xdr:col>
      <xdr:colOff>100012</xdr:colOff>
      <xdr:row>6</xdr:row>
      <xdr:rowOff>19050</xdr:rowOff>
    </xdr:from>
    <xdr:to>
      <xdr:col>47</xdr:col>
      <xdr:colOff>557212</xdr:colOff>
      <xdr:row>20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408159-3A89-41EF-E0DC-6BB8B6502F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64</xdr:col>
      <xdr:colOff>415017</xdr:colOff>
      <xdr:row>1</xdr:row>
      <xdr:rowOff>84364</xdr:rowOff>
    </xdr:from>
    <xdr:to>
      <xdr:col>71</xdr:col>
      <xdr:colOff>224517</xdr:colOff>
      <xdr:row>15</xdr:row>
      <xdr:rowOff>160564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785F05A-0BE0-6149-B47D-E3D93B3821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65</xdr:col>
      <xdr:colOff>170089</xdr:colOff>
      <xdr:row>17</xdr:row>
      <xdr:rowOff>138793</xdr:rowOff>
    </xdr:from>
    <xdr:to>
      <xdr:col>71</xdr:col>
      <xdr:colOff>659946</xdr:colOff>
      <xdr:row>32</xdr:row>
      <xdr:rowOff>24493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312E258-BAB4-3285-8D32-86720427FA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65</xdr:col>
      <xdr:colOff>197302</xdr:colOff>
      <xdr:row>33</xdr:row>
      <xdr:rowOff>111579</xdr:rowOff>
    </xdr:from>
    <xdr:to>
      <xdr:col>72</xdr:col>
      <xdr:colOff>6802</xdr:colOff>
      <xdr:row>47</xdr:row>
      <xdr:rowOff>187779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DB8504A-7F4D-ABAD-B5AE-FB0E95ADC6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88</xdr:col>
      <xdr:colOff>20411</xdr:colOff>
      <xdr:row>5</xdr:row>
      <xdr:rowOff>118381</xdr:rowOff>
    </xdr:from>
    <xdr:to>
      <xdr:col>94</xdr:col>
      <xdr:colOff>510268</xdr:colOff>
      <xdr:row>20</xdr:row>
      <xdr:rowOff>4081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0A8CD98-B5E7-917B-8955-7522A15E0E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94</xdr:col>
      <xdr:colOff>672040</xdr:colOff>
      <xdr:row>2</xdr:row>
      <xdr:rowOff>168274</xdr:rowOff>
    </xdr:from>
    <xdr:to>
      <xdr:col>101</xdr:col>
      <xdr:colOff>481540</xdr:colOff>
      <xdr:row>17</xdr:row>
      <xdr:rowOff>53974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C2E05DB-F2F1-CB2C-04AF-B5C7A3643A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106</xdr:col>
      <xdr:colOff>238124</xdr:colOff>
      <xdr:row>13</xdr:row>
      <xdr:rowOff>91167</xdr:rowOff>
    </xdr:from>
    <xdr:to>
      <xdr:col>113</xdr:col>
      <xdr:colOff>47624</xdr:colOff>
      <xdr:row>27</xdr:row>
      <xdr:rowOff>167367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459BD567-D8DE-9609-CFDD-CDA0E7598C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oi.org/10.2166/wst.2015.358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9863-4381-41AE-99DF-D32F986C3842}">
  <dimension ref="B1:H63"/>
  <sheetViews>
    <sheetView workbookViewId="0">
      <selection activeCell="F3" sqref="F3"/>
    </sheetView>
  </sheetViews>
  <sheetFormatPr defaultRowHeight="14.25" x14ac:dyDescent="0.2"/>
  <cols>
    <col min="2" max="2" width="13.5" customWidth="1"/>
    <col min="3" max="3" width="9.25" customWidth="1"/>
    <col min="5" max="5" width="12.375" customWidth="1"/>
    <col min="7" max="7" width="37.25" customWidth="1"/>
  </cols>
  <sheetData>
    <row r="1" spans="2:8" x14ac:dyDescent="0.2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2:8" x14ac:dyDescent="0.2">
      <c r="B2" s="4">
        <v>1</v>
      </c>
      <c r="C2" t="s">
        <v>50</v>
      </c>
      <c r="D2" t="s">
        <v>7</v>
      </c>
      <c r="E2" t="s">
        <v>51</v>
      </c>
      <c r="F2" t="s">
        <v>9</v>
      </c>
      <c r="H2" t="s">
        <v>9</v>
      </c>
    </row>
    <row r="3" spans="2:8" x14ac:dyDescent="0.2">
      <c r="B3">
        <v>2</v>
      </c>
      <c r="C3" t="s">
        <v>50</v>
      </c>
      <c r="D3" t="s">
        <v>7</v>
      </c>
      <c r="E3" t="s">
        <v>13</v>
      </c>
      <c r="F3" t="s">
        <v>9</v>
      </c>
      <c r="G3" t="s">
        <v>52</v>
      </c>
    </row>
    <row r="4" spans="2:8" x14ac:dyDescent="0.2">
      <c r="B4">
        <v>3</v>
      </c>
      <c r="C4" t="s">
        <v>50</v>
      </c>
      <c r="D4" t="s">
        <v>7</v>
      </c>
      <c r="E4" t="s">
        <v>14</v>
      </c>
      <c r="F4" t="s">
        <v>9</v>
      </c>
      <c r="H4" t="s">
        <v>9</v>
      </c>
    </row>
    <row r="5" spans="2:8" ht="15" x14ac:dyDescent="0.25">
      <c r="B5" s="5">
        <v>4</v>
      </c>
      <c r="C5" s="1" t="s">
        <v>50</v>
      </c>
      <c r="D5" s="1" t="s">
        <v>7</v>
      </c>
      <c r="E5" s="1" t="s">
        <v>53</v>
      </c>
      <c r="F5" s="1" t="s">
        <v>8</v>
      </c>
      <c r="G5" s="1" t="s">
        <v>54</v>
      </c>
      <c r="H5" s="1" t="s">
        <v>55</v>
      </c>
    </row>
    <row r="6" spans="2:8" x14ac:dyDescent="0.2">
      <c r="B6">
        <v>5</v>
      </c>
      <c r="C6" t="s">
        <v>50</v>
      </c>
      <c r="D6" t="s">
        <v>7</v>
      </c>
      <c r="E6" t="s">
        <v>56</v>
      </c>
      <c r="F6" t="s">
        <v>9</v>
      </c>
      <c r="G6" t="s">
        <v>52</v>
      </c>
      <c r="H6" t="s">
        <v>57</v>
      </c>
    </row>
    <row r="7" spans="2:8" x14ac:dyDescent="0.2">
      <c r="B7" s="4">
        <v>6</v>
      </c>
      <c r="C7" t="s">
        <v>50</v>
      </c>
      <c r="D7" t="s">
        <v>7</v>
      </c>
      <c r="E7" t="s">
        <v>58</v>
      </c>
      <c r="F7" t="s">
        <v>9</v>
      </c>
      <c r="H7" t="s">
        <v>9</v>
      </c>
    </row>
    <row r="8" spans="2:8" x14ac:dyDescent="0.2">
      <c r="B8">
        <v>7</v>
      </c>
      <c r="C8" t="s">
        <v>50</v>
      </c>
      <c r="D8" t="s">
        <v>7</v>
      </c>
      <c r="E8" t="s">
        <v>59</v>
      </c>
      <c r="F8" t="s">
        <v>9</v>
      </c>
      <c r="H8" t="s">
        <v>9</v>
      </c>
    </row>
    <row r="9" spans="2:8" x14ac:dyDescent="0.2">
      <c r="B9" s="4">
        <v>8</v>
      </c>
      <c r="C9" t="s">
        <v>50</v>
      </c>
      <c r="D9" t="s">
        <v>7</v>
      </c>
      <c r="E9" t="s">
        <v>60</v>
      </c>
      <c r="F9" s="2" t="s">
        <v>9</v>
      </c>
      <c r="H9" s="2"/>
    </row>
    <row r="10" spans="2:8" ht="15" x14ac:dyDescent="0.25">
      <c r="B10" s="1">
        <v>9</v>
      </c>
      <c r="C10" s="1" t="s">
        <v>50</v>
      </c>
      <c r="D10" s="1" t="s">
        <v>7</v>
      </c>
      <c r="E10" s="1" t="s">
        <v>61</v>
      </c>
      <c r="F10" s="14" t="s">
        <v>8</v>
      </c>
      <c r="G10" s="1" t="s">
        <v>15</v>
      </c>
    </row>
    <row r="11" spans="2:8" ht="15" x14ac:dyDescent="0.25">
      <c r="B11" s="4">
        <v>10</v>
      </c>
      <c r="C11" t="s">
        <v>50</v>
      </c>
      <c r="D11" t="s">
        <v>7</v>
      </c>
      <c r="E11" s="3" t="s">
        <v>62</v>
      </c>
      <c r="F11" s="2" t="s">
        <v>9</v>
      </c>
      <c r="G11" s="2"/>
      <c r="H11" s="2" t="s">
        <v>63</v>
      </c>
    </row>
    <row r="12" spans="2:8" x14ac:dyDescent="0.2">
      <c r="B12">
        <v>11</v>
      </c>
      <c r="C12" t="s">
        <v>50</v>
      </c>
      <c r="D12" t="s">
        <v>7</v>
      </c>
      <c r="E12" t="s">
        <v>64</v>
      </c>
      <c r="F12" t="s">
        <v>9</v>
      </c>
      <c r="H12" t="s">
        <v>9</v>
      </c>
    </row>
    <row r="13" spans="2:8" x14ac:dyDescent="0.2">
      <c r="B13" s="4">
        <v>12</v>
      </c>
      <c r="C13" t="s">
        <v>50</v>
      </c>
      <c r="D13" t="s">
        <v>7</v>
      </c>
      <c r="E13" t="s">
        <v>65</v>
      </c>
      <c r="F13" t="s">
        <v>9</v>
      </c>
      <c r="H13" t="s">
        <v>12</v>
      </c>
    </row>
    <row r="14" spans="2:8" x14ac:dyDescent="0.2">
      <c r="B14">
        <v>13</v>
      </c>
      <c r="C14" t="s">
        <v>50</v>
      </c>
      <c r="D14" t="s">
        <v>7</v>
      </c>
      <c r="E14" t="s">
        <v>66</v>
      </c>
      <c r="F14" t="s">
        <v>9</v>
      </c>
      <c r="H14" t="s">
        <v>12</v>
      </c>
    </row>
    <row r="15" spans="2:8" x14ac:dyDescent="0.2">
      <c r="B15">
        <v>14</v>
      </c>
      <c r="C15" t="s">
        <v>50</v>
      </c>
      <c r="D15" t="s">
        <v>7</v>
      </c>
      <c r="E15" t="s">
        <v>67</v>
      </c>
      <c r="F15" t="s">
        <v>9</v>
      </c>
      <c r="H15" t="s">
        <v>12</v>
      </c>
    </row>
    <row r="16" spans="2:8" x14ac:dyDescent="0.2">
      <c r="B16" s="4">
        <v>15</v>
      </c>
      <c r="C16" t="s">
        <v>50</v>
      </c>
      <c r="D16" t="s">
        <v>7</v>
      </c>
      <c r="E16" t="s">
        <v>68</v>
      </c>
      <c r="F16" t="s">
        <v>9</v>
      </c>
      <c r="H16" t="s">
        <v>9</v>
      </c>
    </row>
    <row r="17" spans="2:8" x14ac:dyDescent="0.2">
      <c r="B17">
        <v>16</v>
      </c>
      <c r="C17" t="s">
        <v>50</v>
      </c>
      <c r="D17" t="s">
        <v>69</v>
      </c>
      <c r="E17" t="s">
        <v>70</v>
      </c>
      <c r="F17" t="s">
        <v>9</v>
      </c>
      <c r="H17" s="2"/>
    </row>
    <row r="18" spans="2:8" x14ac:dyDescent="0.2">
      <c r="B18">
        <v>17</v>
      </c>
      <c r="C18" t="s">
        <v>50</v>
      </c>
      <c r="D18" t="s">
        <v>69</v>
      </c>
      <c r="E18" t="s">
        <v>71</v>
      </c>
      <c r="F18" t="s">
        <v>9</v>
      </c>
      <c r="H18" s="2"/>
    </row>
    <row r="19" spans="2:8" x14ac:dyDescent="0.2">
      <c r="B19" s="4">
        <v>18</v>
      </c>
      <c r="C19" t="s">
        <v>50</v>
      </c>
      <c r="D19" t="s">
        <v>69</v>
      </c>
      <c r="E19" t="s">
        <v>72</v>
      </c>
      <c r="F19" t="s">
        <v>9</v>
      </c>
      <c r="G19" t="s">
        <v>73</v>
      </c>
      <c r="H19" s="2"/>
    </row>
    <row r="20" spans="2:8" x14ac:dyDescent="0.2">
      <c r="B20">
        <v>19</v>
      </c>
      <c r="C20" t="s">
        <v>50</v>
      </c>
      <c r="D20" t="s">
        <v>69</v>
      </c>
      <c r="E20" t="s">
        <v>74</v>
      </c>
      <c r="F20" t="s">
        <v>9</v>
      </c>
      <c r="H20" s="2"/>
    </row>
    <row r="21" spans="2:8" ht="15" x14ac:dyDescent="0.25">
      <c r="B21" s="3">
        <v>20</v>
      </c>
      <c r="C21" s="3" t="s">
        <v>50</v>
      </c>
      <c r="D21" t="s">
        <v>69</v>
      </c>
      <c r="E21" t="s">
        <v>75</v>
      </c>
      <c r="F21" t="s">
        <v>76</v>
      </c>
    </row>
    <row r="22" spans="2:8" ht="15" x14ac:dyDescent="0.25">
      <c r="B22" s="5">
        <v>21</v>
      </c>
      <c r="C22" s="1" t="s">
        <v>50</v>
      </c>
      <c r="D22" s="1" t="s">
        <v>69</v>
      </c>
      <c r="E22" s="1" t="s">
        <v>77</v>
      </c>
      <c r="F22" s="1" t="s">
        <v>8</v>
      </c>
      <c r="G22" s="1"/>
    </row>
    <row r="23" spans="2:8" ht="15" x14ac:dyDescent="0.25">
      <c r="B23" s="1">
        <v>22</v>
      </c>
      <c r="C23" s="1" t="s">
        <v>50</v>
      </c>
      <c r="D23" s="1" t="s">
        <v>69</v>
      </c>
      <c r="E23" s="1" t="s">
        <v>78</v>
      </c>
      <c r="F23" s="1" t="s">
        <v>8</v>
      </c>
      <c r="G23" s="1" t="s">
        <v>79</v>
      </c>
    </row>
    <row r="24" spans="2:8" ht="15" x14ac:dyDescent="0.25">
      <c r="B24" s="1">
        <v>23</v>
      </c>
      <c r="C24" s="1" t="s">
        <v>50</v>
      </c>
      <c r="D24" s="1" t="s">
        <v>69</v>
      </c>
      <c r="E24" s="1" t="s">
        <v>80</v>
      </c>
      <c r="F24" s="1" t="s">
        <v>8</v>
      </c>
      <c r="G24" s="1" t="s">
        <v>15</v>
      </c>
    </row>
    <row r="25" spans="2:8" ht="15" x14ac:dyDescent="0.25">
      <c r="B25" s="17">
        <v>24</v>
      </c>
      <c r="C25" t="s">
        <v>50</v>
      </c>
      <c r="D25" t="s">
        <v>69</v>
      </c>
      <c r="E25" t="s">
        <v>81</v>
      </c>
      <c r="F25" t="s">
        <v>9</v>
      </c>
      <c r="H25" s="2"/>
    </row>
    <row r="26" spans="2:8" ht="15" x14ac:dyDescent="0.25">
      <c r="B26" s="3">
        <v>25</v>
      </c>
      <c r="C26" s="3" t="s">
        <v>50</v>
      </c>
      <c r="D26" t="s">
        <v>69</v>
      </c>
      <c r="E26" t="s">
        <v>82</v>
      </c>
      <c r="F26" t="s">
        <v>9</v>
      </c>
      <c r="H26" s="2"/>
    </row>
    <row r="27" spans="2:8" ht="15" x14ac:dyDescent="0.25">
      <c r="B27" s="1">
        <v>26</v>
      </c>
      <c r="C27" s="1" t="s">
        <v>50</v>
      </c>
      <c r="D27" s="1" t="s">
        <v>69</v>
      </c>
      <c r="E27" s="1" t="s">
        <v>83</v>
      </c>
      <c r="F27" s="1" t="s">
        <v>8</v>
      </c>
      <c r="G27" s="1" t="s">
        <v>15</v>
      </c>
    </row>
    <row r="28" spans="2:8" ht="15" x14ac:dyDescent="0.25">
      <c r="B28" s="17">
        <v>27</v>
      </c>
      <c r="C28" t="s">
        <v>50</v>
      </c>
      <c r="D28" t="s">
        <v>69</v>
      </c>
      <c r="E28" t="s">
        <v>84</v>
      </c>
      <c r="F28" t="s">
        <v>9</v>
      </c>
      <c r="H28" t="s">
        <v>12</v>
      </c>
    </row>
    <row r="29" spans="2:8" x14ac:dyDescent="0.2">
      <c r="B29">
        <v>28</v>
      </c>
      <c r="C29" t="s">
        <v>50</v>
      </c>
      <c r="D29" t="s">
        <v>69</v>
      </c>
      <c r="E29" t="s">
        <v>85</v>
      </c>
      <c r="F29" t="s">
        <v>9</v>
      </c>
      <c r="H29" t="s">
        <v>9</v>
      </c>
    </row>
    <row r="30" spans="2:8" x14ac:dyDescent="0.2">
      <c r="B30">
        <v>29</v>
      </c>
      <c r="C30" t="s">
        <v>50</v>
      </c>
      <c r="D30" t="s">
        <v>69</v>
      </c>
      <c r="E30" t="s">
        <v>86</v>
      </c>
      <c r="F30" t="s">
        <v>10</v>
      </c>
      <c r="G30" t="s">
        <v>87</v>
      </c>
    </row>
    <row r="31" spans="2:8" x14ac:dyDescent="0.2">
      <c r="B31" s="4">
        <v>30</v>
      </c>
      <c r="C31" t="s">
        <v>50</v>
      </c>
      <c r="D31" t="s">
        <v>69</v>
      </c>
      <c r="E31" t="s">
        <v>88</v>
      </c>
    </row>
    <row r="32" spans="2:8" x14ac:dyDescent="0.2">
      <c r="B32">
        <v>31</v>
      </c>
      <c r="C32" t="s">
        <v>50</v>
      </c>
      <c r="D32" t="s">
        <v>69</v>
      </c>
      <c r="E32" t="s">
        <v>89</v>
      </c>
      <c r="F32" t="s">
        <v>9</v>
      </c>
      <c r="G32" t="s">
        <v>90</v>
      </c>
    </row>
    <row r="33" spans="2:8" ht="15" x14ac:dyDescent="0.25">
      <c r="B33" s="1">
        <v>32</v>
      </c>
      <c r="C33" s="1" t="s">
        <v>50</v>
      </c>
      <c r="D33" s="1" t="s">
        <v>69</v>
      </c>
      <c r="E33" s="1" t="s">
        <v>91</v>
      </c>
      <c r="F33" s="1" t="s">
        <v>8</v>
      </c>
      <c r="G33" s="1" t="s">
        <v>92</v>
      </c>
    </row>
    <row r="34" spans="2:8" ht="15" x14ac:dyDescent="0.25">
      <c r="B34" s="5">
        <v>33</v>
      </c>
      <c r="C34" s="1" t="s">
        <v>50</v>
      </c>
      <c r="D34" s="1" t="s">
        <v>69</v>
      </c>
      <c r="E34" s="1" t="s">
        <v>93</v>
      </c>
      <c r="F34" s="1" t="s">
        <v>8</v>
      </c>
      <c r="G34" s="1" t="s">
        <v>94</v>
      </c>
    </row>
    <row r="35" spans="2:8" x14ac:dyDescent="0.2">
      <c r="B35">
        <v>34</v>
      </c>
      <c r="C35" t="s">
        <v>50</v>
      </c>
      <c r="D35" t="s">
        <v>69</v>
      </c>
      <c r="E35" t="s">
        <v>95</v>
      </c>
    </row>
    <row r="36" spans="2:8" x14ac:dyDescent="0.2">
      <c r="B36">
        <v>35</v>
      </c>
      <c r="C36" t="s">
        <v>50</v>
      </c>
      <c r="D36" t="s">
        <v>69</v>
      </c>
      <c r="E36" t="s">
        <v>96</v>
      </c>
      <c r="F36" t="s">
        <v>9</v>
      </c>
      <c r="H36" s="2"/>
    </row>
    <row r="37" spans="2:8" x14ac:dyDescent="0.2">
      <c r="B37" s="4">
        <v>36</v>
      </c>
      <c r="C37" t="s">
        <v>50</v>
      </c>
      <c r="D37" t="s">
        <v>69</v>
      </c>
      <c r="E37" t="s">
        <v>97</v>
      </c>
      <c r="F37" t="s">
        <v>9</v>
      </c>
      <c r="H37" t="s">
        <v>12</v>
      </c>
    </row>
    <row r="38" spans="2:8" x14ac:dyDescent="0.2">
      <c r="B38">
        <v>37</v>
      </c>
      <c r="C38" t="s">
        <v>50</v>
      </c>
      <c r="D38" t="s">
        <v>69</v>
      </c>
      <c r="E38" t="s">
        <v>98</v>
      </c>
      <c r="F38" t="s">
        <v>9</v>
      </c>
      <c r="H38" t="s">
        <v>9</v>
      </c>
    </row>
    <row r="39" spans="2:8" x14ac:dyDescent="0.2">
      <c r="B39">
        <v>38</v>
      </c>
      <c r="C39" t="s">
        <v>50</v>
      </c>
      <c r="D39" t="s">
        <v>69</v>
      </c>
      <c r="E39" t="s">
        <v>99</v>
      </c>
      <c r="F39" t="s">
        <v>9</v>
      </c>
      <c r="H39" t="s">
        <v>12</v>
      </c>
    </row>
    <row r="40" spans="2:8" x14ac:dyDescent="0.2">
      <c r="B40" s="4">
        <v>39</v>
      </c>
      <c r="C40" t="s">
        <v>50</v>
      </c>
      <c r="D40" t="s">
        <v>69</v>
      </c>
      <c r="E40" t="s">
        <v>100</v>
      </c>
      <c r="F40" t="s">
        <v>9</v>
      </c>
      <c r="H40" t="s">
        <v>9</v>
      </c>
    </row>
    <row r="41" spans="2:8" ht="15" x14ac:dyDescent="0.25">
      <c r="B41" s="1">
        <v>40</v>
      </c>
      <c r="C41" s="1" t="s">
        <v>50</v>
      </c>
      <c r="D41" s="1" t="s">
        <v>69</v>
      </c>
      <c r="E41" s="1" t="s">
        <v>101</v>
      </c>
      <c r="F41" s="1" t="s">
        <v>8</v>
      </c>
      <c r="G41" s="1" t="s">
        <v>102</v>
      </c>
    </row>
    <row r="42" spans="2:8" x14ac:dyDescent="0.2">
      <c r="B42">
        <v>41</v>
      </c>
      <c r="C42" t="s">
        <v>50</v>
      </c>
      <c r="D42" t="s">
        <v>69</v>
      </c>
      <c r="E42" t="s">
        <v>16</v>
      </c>
      <c r="F42" t="s">
        <v>9</v>
      </c>
      <c r="H42" t="s">
        <v>12</v>
      </c>
    </row>
    <row r="43" spans="2:8" ht="15" x14ac:dyDescent="0.25">
      <c r="B43" s="5">
        <v>42</v>
      </c>
      <c r="C43" s="1" t="s">
        <v>50</v>
      </c>
      <c r="D43" s="1" t="s">
        <v>69</v>
      </c>
      <c r="E43" s="1" t="s">
        <v>103</v>
      </c>
      <c r="F43" s="1" t="s">
        <v>8</v>
      </c>
      <c r="G43" s="1" t="s">
        <v>104</v>
      </c>
    </row>
    <row r="44" spans="2:8" ht="15" x14ac:dyDescent="0.25">
      <c r="B44" s="1">
        <v>43</v>
      </c>
      <c r="C44" s="1" t="s">
        <v>50</v>
      </c>
      <c r="D44" s="1" t="s">
        <v>69</v>
      </c>
      <c r="E44" s="1" t="s">
        <v>105</v>
      </c>
      <c r="F44" s="1" t="s">
        <v>8</v>
      </c>
      <c r="G44" s="1" t="s">
        <v>106</v>
      </c>
    </row>
    <row r="45" spans="2:8" ht="15" x14ac:dyDescent="0.25">
      <c r="B45">
        <v>44</v>
      </c>
      <c r="C45" t="s">
        <v>50</v>
      </c>
      <c r="D45" t="s">
        <v>69</v>
      </c>
      <c r="E45" t="s">
        <v>107</v>
      </c>
      <c r="F45" s="3" t="s">
        <v>9</v>
      </c>
      <c r="H45" t="s">
        <v>9</v>
      </c>
    </row>
    <row r="46" spans="2:8" ht="15" x14ac:dyDescent="0.25">
      <c r="B46" s="5">
        <v>45</v>
      </c>
      <c r="C46" s="1" t="s">
        <v>50</v>
      </c>
      <c r="D46" s="1" t="s">
        <v>69</v>
      </c>
      <c r="E46" s="1" t="s">
        <v>108</v>
      </c>
      <c r="F46" s="1" t="s">
        <v>8</v>
      </c>
      <c r="G46" s="1" t="s">
        <v>15</v>
      </c>
    </row>
    <row r="47" spans="2:8" ht="15" x14ac:dyDescent="0.25">
      <c r="B47">
        <v>46</v>
      </c>
      <c r="C47" t="s">
        <v>50</v>
      </c>
      <c r="D47" t="s">
        <v>69</v>
      </c>
      <c r="E47" t="s">
        <v>109</v>
      </c>
      <c r="F47" s="3" t="s">
        <v>9</v>
      </c>
      <c r="G47" s="3" t="s">
        <v>110</v>
      </c>
      <c r="H47" t="s">
        <v>9</v>
      </c>
    </row>
    <row r="48" spans="2:8" ht="15" x14ac:dyDescent="0.25">
      <c r="B48">
        <v>47</v>
      </c>
      <c r="C48" t="s">
        <v>50</v>
      </c>
      <c r="D48" t="s">
        <v>69</v>
      </c>
      <c r="E48" t="s">
        <v>111</v>
      </c>
      <c r="F48" s="3" t="s">
        <v>9</v>
      </c>
      <c r="G48" s="3" t="s">
        <v>112</v>
      </c>
      <c r="H48" t="s">
        <v>9</v>
      </c>
    </row>
    <row r="49" spans="2:8" ht="15" x14ac:dyDescent="0.25">
      <c r="B49" s="4">
        <v>48</v>
      </c>
      <c r="C49" t="s">
        <v>50</v>
      </c>
      <c r="D49" s="2" t="s">
        <v>69</v>
      </c>
      <c r="E49" s="2" t="s">
        <v>113</v>
      </c>
      <c r="F49" s="11" t="s">
        <v>114</v>
      </c>
    </row>
    <row r="50" spans="2:8" ht="15" x14ac:dyDescent="0.25">
      <c r="B50">
        <v>49</v>
      </c>
      <c r="C50" t="s">
        <v>50</v>
      </c>
      <c r="D50" s="2" t="s">
        <v>69</v>
      </c>
      <c r="E50" s="2" t="s">
        <v>115</v>
      </c>
      <c r="F50" s="11" t="s">
        <v>116</v>
      </c>
    </row>
    <row r="51" spans="2:8" ht="15" x14ac:dyDescent="0.25">
      <c r="B51" s="1">
        <v>50</v>
      </c>
      <c r="C51" s="1" t="s">
        <v>50</v>
      </c>
      <c r="D51" s="1" t="s">
        <v>69</v>
      </c>
      <c r="E51" s="1" t="s">
        <v>117</v>
      </c>
      <c r="F51" s="1" t="s">
        <v>8</v>
      </c>
      <c r="G51" s="1" t="s">
        <v>118</v>
      </c>
    </row>
    <row r="52" spans="2:8" ht="15" x14ac:dyDescent="0.25">
      <c r="B52" s="5">
        <v>51</v>
      </c>
      <c r="C52" s="1" t="s">
        <v>50</v>
      </c>
      <c r="D52" s="1" t="s">
        <v>69</v>
      </c>
      <c r="E52" s="1" t="s">
        <v>119</v>
      </c>
      <c r="F52" s="1" t="s">
        <v>8</v>
      </c>
      <c r="G52" s="1" t="s">
        <v>15</v>
      </c>
    </row>
    <row r="53" spans="2:8" ht="15" x14ac:dyDescent="0.25">
      <c r="B53" s="1">
        <v>52</v>
      </c>
      <c r="C53" s="1" t="s">
        <v>50</v>
      </c>
      <c r="D53" s="1" t="s">
        <v>69</v>
      </c>
      <c r="E53" s="1" t="s">
        <v>120</v>
      </c>
      <c r="F53" s="1" t="s">
        <v>8</v>
      </c>
      <c r="G53" s="1" t="s">
        <v>15</v>
      </c>
    </row>
    <row r="54" spans="2:8" ht="15" x14ac:dyDescent="0.25">
      <c r="B54" s="1">
        <v>53</v>
      </c>
      <c r="C54" s="1" t="s">
        <v>50</v>
      </c>
      <c r="D54" s="1" t="s">
        <v>69</v>
      </c>
      <c r="E54" s="1" t="s">
        <v>121</v>
      </c>
      <c r="F54" s="1" t="s">
        <v>8</v>
      </c>
      <c r="G54" s="1" t="s">
        <v>122</v>
      </c>
    </row>
    <row r="55" spans="2:8" ht="15" x14ac:dyDescent="0.25">
      <c r="B55" s="5">
        <v>54</v>
      </c>
      <c r="C55" s="1" t="s">
        <v>50</v>
      </c>
      <c r="D55" s="1" t="s">
        <v>69</v>
      </c>
      <c r="E55" s="1" t="s">
        <v>123</v>
      </c>
      <c r="F55" s="1" t="s">
        <v>8</v>
      </c>
      <c r="G55" s="1" t="s">
        <v>122</v>
      </c>
    </row>
    <row r="56" spans="2:8" ht="15" x14ac:dyDescent="0.25">
      <c r="B56" s="1">
        <v>55</v>
      </c>
      <c r="C56" s="1" t="s">
        <v>50</v>
      </c>
      <c r="D56" s="1" t="s">
        <v>69</v>
      </c>
      <c r="E56" s="1" t="s">
        <v>124</v>
      </c>
      <c r="F56" s="1" t="s">
        <v>125</v>
      </c>
      <c r="G56" s="1" t="s">
        <v>126</v>
      </c>
    </row>
    <row r="57" spans="2:8" ht="15" x14ac:dyDescent="0.25">
      <c r="B57" s="4">
        <v>56</v>
      </c>
      <c r="C57" t="s">
        <v>50</v>
      </c>
      <c r="D57" t="s">
        <v>127</v>
      </c>
      <c r="E57" t="s">
        <v>128</v>
      </c>
      <c r="F57" s="3" t="s">
        <v>9</v>
      </c>
      <c r="H57" t="s">
        <v>12</v>
      </c>
    </row>
    <row r="58" spans="2:8" x14ac:dyDescent="0.2">
      <c r="B58">
        <v>57</v>
      </c>
      <c r="C58" t="s">
        <v>50</v>
      </c>
      <c r="D58" t="s">
        <v>127</v>
      </c>
      <c r="E58" t="s">
        <v>129</v>
      </c>
    </row>
    <row r="59" spans="2:8" ht="15" x14ac:dyDescent="0.25">
      <c r="C59" s="1"/>
      <c r="D59" s="1"/>
      <c r="E59" s="1"/>
      <c r="F59" s="1"/>
      <c r="G59" s="1"/>
    </row>
    <row r="60" spans="2:8" ht="15" x14ac:dyDescent="0.25">
      <c r="C60" s="1"/>
      <c r="D60" s="1"/>
      <c r="E60" s="1"/>
      <c r="F60" s="1"/>
      <c r="G60" s="1"/>
    </row>
    <row r="61" spans="2:8" ht="15" x14ac:dyDescent="0.25">
      <c r="C61" s="1"/>
      <c r="D61" s="1"/>
      <c r="E61" s="1"/>
      <c r="F61" s="1"/>
      <c r="G61" s="1"/>
    </row>
    <row r="63" spans="2:8" ht="15" x14ac:dyDescent="0.25">
      <c r="B63" s="3"/>
      <c r="C63" s="3"/>
      <c r="D63" s="3"/>
      <c r="E63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65225-66E7-47E1-9D66-87BE2EEFF550}">
  <dimension ref="A1:BJ84"/>
  <sheetViews>
    <sheetView tabSelected="1" zoomScale="80" zoomScaleNormal="80" workbookViewId="0">
      <pane xSplit="2" ySplit="1" topLeftCell="O6" activePane="bottomRight" state="frozen"/>
      <selection pane="topRight" activeCell="C1" sqref="C1"/>
      <selection pane="bottomLeft" activeCell="A2" sqref="A2"/>
      <selection pane="bottomRight" activeCell="U26" sqref="U26"/>
    </sheetView>
  </sheetViews>
  <sheetFormatPr defaultRowHeight="14.25" x14ac:dyDescent="0.2"/>
  <cols>
    <col min="9" max="9" width="10.5" bestFit="1" customWidth="1"/>
    <col min="11" max="11" width="3.5" customWidth="1"/>
    <col min="24" max="24" width="2.875" customWidth="1"/>
    <col min="25" max="25" width="14.375" customWidth="1"/>
    <col min="26" max="26" width="17.75" customWidth="1"/>
    <col min="27" max="27" width="17.375" customWidth="1"/>
    <col min="28" max="28" width="14.875" customWidth="1"/>
    <col min="29" max="29" width="19.5" customWidth="1"/>
    <col min="30" max="30" width="17.625" customWidth="1"/>
    <col min="31" max="31" width="1.75" customWidth="1"/>
    <col min="34" max="34" width="10.875" customWidth="1"/>
    <col min="35" max="35" width="11.375" customWidth="1"/>
    <col min="36" max="36" width="2.625" customWidth="1"/>
    <col min="37" max="37" width="18.25" bestFit="1" customWidth="1"/>
  </cols>
  <sheetData>
    <row r="1" spans="1:62" ht="51" customHeight="1" x14ac:dyDescent="0.2"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  <c r="S1" t="s">
        <v>34</v>
      </c>
      <c r="T1" t="s">
        <v>35</v>
      </c>
      <c r="U1" t="s">
        <v>36</v>
      </c>
      <c r="V1" t="s">
        <v>203</v>
      </c>
      <c r="W1" t="s">
        <v>204</v>
      </c>
      <c r="Y1" s="4" t="s">
        <v>37</v>
      </c>
      <c r="Z1" s="4" t="s">
        <v>38</v>
      </c>
      <c r="AA1" s="4" t="s">
        <v>39</v>
      </c>
      <c r="AB1" s="4" t="s">
        <v>40</v>
      </c>
      <c r="AC1" s="4" t="s">
        <v>41</v>
      </c>
      <c r="AD1" s="4" t="s">
        <v>42</v>
      </c>
      <c r="AF1" s="4" t="s">
        <v>43</v>
      </c>
      <c r="AG1" s="4" t="s">
        <v>44</v>
      </c>
      <c r="AH1" s="4" t="s">
        <v>45</v>
      </c>
      <c r="AI1" s="4" t="s">
        <v>46</v>
      </c>
      <c r="AK1" s="4" t="s">
        <v>47</v>
      </c>
      <c r="AO1" t="s">
        <v>196</v>
      </c>
      <c r="AP1" t="s">
        <v>197</v>
      </c>
      <c r="AQ1" t="s">
        <v>198</v>
      </c>
      <c r="AS1" t="s">
        <v>199</v>
      </c>
      <c r="AU1" t="s">
        <v>199</v>
      </c>
      <c r="BG1" t="s">
        <v>27</v>
      </c>
      <c r="BH1" t="s">
        <v>29</v>
      </c>
      <c r="BI1" t="s">
        <v>30</v>
      </c>
      <c r="BJ1" t="s">
        <v>199</v>
      </c>
    </row>
    <row r="2" spans="1:62" ht="15" x14ac:dyDescent="0.25">
      <c r="A2" s="45" t="s">
        <v>50</v>
      </c>
      <c r="B2" s="45"/>
      <c r="C2" t="s">
        <v>48</v>
      </c>
      <c r="D2" s="10">
        <v>9.5000000000000001E-2</v>
      </c>
      <c r="E2">
        <v>27.8</v>
      </c>
      <c r="F2" s="3">
        <v>210</v>
      </c>
      <c r="G2" s="3">
        <v>2</v>
      </c>
      <c r="H2" s="10">
        <f>(D2/I2)/0.081</f>
        <v>1.6289437585733882E-2</v>
      </c>
      <c r="I2" s="3">
        <v>72</v>
      </c>
      <c r="J2">
        <v>0.32100000000000001</v>
      </c>
      <c r="K2" s="4"/>
      <c r="L2" s="6">
        <v>295</v>
      </c>
      <c r="M2" s="6">
        <v>960</v>
      </c>
      <c r="N2" s="6">
        <v>71</v>
      </c>
      <c r="O2">
        <v>76</v>
      </c>
      <c r="P2" t="s">
        <v>48</v>
      </c>
      <c r="Q2" t="s">
        <v>48</v>
      </c>
      <c r="R2">
        <v>248</v>
      </c>
      <c r="S2">
        <v>74</v>
      </c>
      <c r="T2" t="s">
        <v>48</v>
      </c>
      <c r="U2" t="s">
        <v>48</v>
      </c>
      <c r="Y2" s="4"/>
      <c r="Z2" s="3" t="s">
        <v>48</v>
      </c>
      <c r="AA2" s="8">
        <f>(((13.6-3.8)/F2))/(31.7/1000)</f>
        <v>1.4721345951629865</v>
      </c>
      <c r="AB2" s="3"/>
      <c r="AC2" s="3" t="s">
        <v>48</v>
      </c>
      <c r="AD2">
        <v>8.0999999999999996E-3</v>
      </c>
      <c r="AF2" s="3" t="s">
        <v>48</v>
      </c>
      <c r="AG2" s="3" t="s">
        <v>48</v>
      </c>
      <c r="AH2" s="3" t="s">
        <v>48</v>
      </c>
      <c r="AI2" s="3" t="s">
        <v>48</v>
      </c>
      <c r="AK2" s="46" t="s">
        <v>17</v>
      </c>
      <c r="AO2">
        <v>5</v>
      </c>
      <c r="AP2">
        <v>2</v>
      </c>
      <c r="AQ2">
        <v>1</v>
      </c>
      <c r="AS2">
        <f>(AP2+AO2)*LN((AP2+2))</f>
        <v>9.7040605278392338</v>
      </c>
      <c r="AU2">
        <f>(AP2+AO2)*LN(AQ2+2)</f>
        <v>7.6902860206767683</v>
      </c>
      <c r="BG2">
        <v>295</v>
      </c>
      <c r="BH2">
        <v>71</v>
      </c>
      <c r="BI2">
        <v>76</v>
      </c>
      <c r="BJ2">
        <v>7.6902860206767683</v>
      </c>
    </row>
    <row r="3" spans="1:62" ht="15" x14ac:dyDescent="0.25">
      <c r="A3" s="45" t="s">
        <v>50</v>
      </c>
      <c r="B3" s="45"/>
      <c r="C3" t="s">
        <v>48</v>
      </c>
      <c r="D3" s="10">
        <v>9.5000000000000001E-2</v>
      </c>
      <c r="E3">
        <v>24.1</v>
      </c>
      <c r="F3" s="3">
        <v>210</v>
      </c>
      <c r="G3" s="3">
        <v>2</v>
      </c>
      <c r="H3" s="10">
        <f>(D3/I3)/0.081</f>
        <v>2.4434156378600823E-2</v>
      </c>
      <c r="I3" s="3">
        <v>48</v>
      </c>
      <c r="J3">
        <v>0.436</v>
      </c>
      <c r="K3" s="4"/>
      <c r="L3" s="6">
        <v>295</v>
      </c>
      <c r="M3" s="6">
        <v>960</v>
      </c>
      <c r="N3" s="6">
        <v>77</v>
      </c>
      <c r="O3">
        <v>72</v>
      </c>
      <c r="P3" t="s">
        <v>48</v>
      </c>
      <c r="Q3" t="s">
        <v>48</v>
      </c>
      <c r="R3">
        <v>314</v>
      </c>
      <c r="S3">
        <v>64</v>
      </c>
      <c r="T3" t="s">
        <v>48</v>
      </c>
      <c r="U3" t="s">
        <v>48</v>
      </c>
      <c r="Y3" s="4"/>
      <c r="Z3" s="3" t="s">
        <v>48</v>
      </c>
      <c r="AA3" s="8">
        <f>((12.6-3.08)/F3)/(47.5/1000)</f>
        <v>0.95438596491228056</v>
      </c>
      <c r="AB3" s="3"/>
      <c r="AC3" s="3" t="s">
        <v>48</v>
      </c>
      <c r="AD3">
        <v>4.4999999999999997E-3</v>
      </c>
      <c r="AF3" s="3" t="s">
        <v>48</v>
      </c>
      <c r="AG3" s="3" t="s">
        <v>48</v>
      </c>
      <c r="AH3" s="3" t="s">
        <v>48</v>
      </c>
      <c r="AI3" s="3" t="s">
        <v>48</v>
      </c>
      <c r="AK3" s="46"/>
      <c r="AO3">
        <v>5</v>
      </c>
      <c r="AP3">
        <v>2</v>
      </c>
      <c r="AQ3">
        <v>1</v>
      </c>
      <c r="AS3">
        <f t="shared" ref="AS3:AS4" si="0">(AP3+AO3)*LN((AP3+2))</f>
        <v>9.7040605278392338</v>
      </c>
      <c r="AU3">
        <f t="shared" ref="AU3:AU4" si="1">(AP3+AO3)*LN(AQ3+2)</f>
        <v>7.6902860206767683</v>
      </c>
      <c r="BG3">
        <v>295</v>
      </c>
      <c r="BH3">
        <v>77</v>
      </c>
      <c r="BI3">
        <v>72</v>
      </c>
      <c r="BJ3">
        <v>7.6902860206767683</v>
      </c>
    </row>
    <row r="4" spans="1:62" ht="15" x14ac:dyDescent="0.25">
      <c r="A4" s="45" t="s">
        <v>50</v>
      </c>
      <c r="B4" s="45"/>
      <c r="C4" t="s">
        <v>48</v>
      </c>
      <c r="D4" s="10">
        <v>9.5000000000000001E-2</v>
      </c>
      <c r="E4">
        <v>27.2</v>
      </c>
      <c r="F4" s="3">
        <v>210</v>
      </c>
      <c r="G4" s="3">
        <v>2</v>
      </c>
      <c r="H4" s="10">
        <f>(D4/I4)/0.081</f>
        <v>4.8868312757201646E-2</v>
      </c>
      <c r="I4" s="3">
        <v>24</v>
      </c>
      <c r="J4">
        <v>0.88500000000000001</v>
      </c>
      <c r="K4" s="4"/>
      <c r="L4" s="6">
        <v>295</v>
      </c>
      <c r="M4" s="6">
        <v>960</v>
      </c>
      <c r="N4" s="6">
        <v>87</v>
      </c>
      <c r="O4">
        <v>68</v>
      </c>
      <c r="Q4" t="s">
        <v>48</v>
      </c>
      <c r="R4">
        <v>380</v>
      </c>
      <c r="S4">
        <v>57</v>
      </c>
      <c r="U4" t="s">
        <v>48</v>
      </c>
      <c r="Y4" s="4"/>
      <c r="Z4" s="3" t="s">
        <v>48</v>
      </c>
      <c r="AA4" s="8">
        <f>((10.1-1.72)/F4)/(47.5/1000)</f>
        <v>0.84010025062656635</v>
      </c>
      <c r="AB4" s="3"/>
      <c r="AC4" s="3" t="s">
        <v>48</v>
      </c>
      <c r="AD4">
        <v>2.5000000000000001E-3</v>
      </c>
      <c r="AF4" s="3" t="s">
        <v>48</v>
      </c>
      <c r="AG4" s="3" t="s">
        <v>48</v>
      </c>
      <c r="AH4" s="3" t="s">
        <v>48</v>
      </c>
      <c r="AI4" s="3" t="s">
        <v>48</v>
      </c>
      <c r="AK4" s="46"/>
      <c r="AO4">
        <v>5</v>
      </c>
      <c r="AP4">
        <v>2</v>
      </c>
      <c r="AQ4">
        <v>1</v>
      </c>
      <c r="AS4">
        <f t="shared" si="0"/>
        <v>9.7040605278392338</v>
      </c>
      <c r="AU4">
        <f t="shared" si="1"/>
        <v>7.6902860206767683</v>
      </c>
      <c r="BG4">
        <v>295</v>
      </c>
      <c r="BH4">
        <v>87</v>
      </c>
      <c r="BI4">
        <v>68</v>
      </c>
      <c r="BJ4">
        <v>7.6902860206767683</v>
      </c>
    </row>
    <row r="5" spans="1:62" ht="15.75" customHeight="1" x14ac:dyDescent="0.25">
      <c r="A5" s="45" t="s">
        <v>50</v>
      </c>
      <c r="B5" s="45"/>
      <c r="C5" t="s">
        <v>48</v>
      </c>
      <c r="D5" s="10">
        <f>3*2*1</f>
        <v>6</v>
      </c>
      <c r="E5" s="4">
        <v>19</v>
      </c>
      <c r="F5" s="4">
        <f>4*30</f>
        <v>120</v>
      </c>
      <c r="G5" s="4"/>
      <c r="H5" s="4"/>
      <c r="I5" s="3">
        <v>24</v>
      </c>
      <c r="J5" s="8">
        <f>((M5*(D5/I5)*24)/1000)/D5</f>
        <v>0.41100000000000003</v>
      </c>
      <c r="K5" s="4"/>
      <c r="L5" s="6">
        <v>329</v>
      </c>
      <c r="M5" s="6">
        <v>411</v>
      </c>
      <c r="N5" s="6"/>
      <c r="O5" s="6">
        <v>84</v>
      </c>
      <c r="P5" t="s">
        <v>48</v>
      </c>
      <c r="Q5" t="s">
        <v>48</v>
      </c>
      <c r="S5" s="6">
        <v>76</v>
      </c>
      <c r="T5" t="s">
        <v>48</v>
      </c>
      <c r="U5" t="s">
        <v>48</v>
      </c>
      <c r="Y5" s="4"/>
      <c r="Z5" s="3" t="s">
        <v>48</v>
      </c>
      <c r="AA5" s="3" t="s">
        <v>48</v>
      </c>
      <c r="AB5" s="3" t="s">
        <v>48</v>
      </c>
      <c r="AC5" s="3" t="s">
        <v>48</v>
      </c>
      <c r="AD5" s="3" t="s">
        <v>48</v>
      </c>
      <c r="AF5" s="3" t="s">
        <v>48</v>
      </c>
      <c r="AG5" s="3" t="s">
        <v>48</v>
      </c>
      <c r="AH5" s="3" t="s">
        <v>48</v>
      </c>
      <c r="AI5" s="3" t="s">
        <v>48</v>
      </c>
      <c r="AK5" s="4" t="s">
        <v>11</v>
      </c>
      <c r="AO5">
        <v>8</v>
      </c>
      <c r="AP5">
        <v>2</v>
      </c>
      <c r="AQ5">
        <v>1</v>
      </c>
      <c r="AS5">
        <f t="shared" ref="AS5" si="2">(AP5+AO5)*LN((AP5+2))</f>
        <v>13.862943611198906</v>
      </c>
      <c r="AU5">
        <f t="shared" ref="AU5" si="3">(AP5+AO5)*LN(AQ5+2)</f>
        <v>10.986122886681098</v>
      </c>
      <c r="AX5" s="3" t="s">
        <v>49</v>
      </c>
      <c r="AY5" s="18" t="s">
        <v>130</v>
      </c>
      <c r="BG5">
        <v>329</v>
      </c>
      <c r="BI5">
        <v>84</v>
      </c>
      <c r="BJ5">
        <v>10.986122886681098</v>
      </c>
    </row>
    <row r="6" spans="1:62" ht="15" x14ac:dyDescent="0.25">
      <c r="A6" s="45" t="s">
        <v>50</v>
      </c>
      <c r="B6" s="45"/>
      <c r="C6" s="3" t="s">
        <v>131</v>
      </c>
      <c r="D6" s="10">
        <v>9.8000000000000007</v>
      </c>
      <c r="E6">
        <v>15.7</v>
      </c>
      <c r="F6" s="3">
        <v>460</v>
      </c>
      <c r="G6" s="3">
        <v>14</v>
      </c>
      <c r="H6" t="s">
        <v>48</v>
      </c>
      <c r="I6" s="3">
        <v>26</v>
      </c>
      <c r="J6" s="19"/>
      <c r="L6" s="6">
        <v>119</v>
      </c>
      <c r="M6" s="6">
        <v>323</v>
      </c>
      <c r="N6" s="6">
        <v>69</v>
      </c>
      <c r="O6" s="9">
        <f>((L6-N6)/L6)*100</f>
        <v>42.016806722689076</v>
      </c>
      <c r="P6" s="9"/>
      <c r="R6">
        <v>250</v>
      </c>
      <c r="S6" s="9">
        <f>((M6-R6)/M6)*100</f>
        <v>22.600619195046441</v>
      </c>
      <c r="T6" s="52">
        <f>250-150</f>
        <v>100</v>
      </c>
      <c r="U6" s="52">
        <f>(((323-159)-T6)/(323-159))*100</f>
        <v>39.024390243902438</v>
      </c>
      <c r="V6" s="53">
        <v>150</v>
      </c>
      <c r="W6" s="52">
        <f>((159-150)/159)*100</f>
        <v>5.6603773584905666</v>
      </c>
      <c r="Z6" s="3" t="s">
        <v>48</v>
      </c>
      <c r="AA6" s="3" t="s">
        <v>48</v>
      </c>
      <c r="AB6" s="3" t="s">
        <v>48</v>
      </c>
      <c r="AC6">
        <v>978</v>
      </c>
      <c r="AD6" s="3" t="s">
        <v>48</v>
      </c>
      <c r="AF6" s="3" t="s">
        <v>48</v>
      </c>
      <c r="AG6" s="3" t="s">
        <v>48</v>
      </c>
      <c r="AH6" s="3" t="s">
        <v>48</v>
      </c>
      <c r="AI6" s="3" t="s">
        <v>48</v>
      </c>
      <c r="AK6" s="44" t="s">
        <v>84</v>
      </c>
      <c r="AL6" s="3" t="s">
        <v>188</v>
      </c>
      <c r="AM6" s="3"/>
      <c r="AO6">
        <v>15</v>
      </c>
      <c r="AP6">
        <v>2</v>
      </c>
      <c r="AQ6">
        <v>1</v>
      </c>
      <c r="AS6">
        <f t="shared" ref="AS6:AS10" si="4">(AP6+AO6)*LN((AP6+2))</f>
        <v>23.56700413903814</v>
      </c>
      <c r="AU6">
        <f t="shared" ref="AU6:AU10" si="5">(AP6+AO6)*LN(AQ6+2)</f>
        <v>18.676408907357867</v>
      </c>
      <c r="BG6">
        <v>119</v>
      </c>
      <c r="BH6">
        <v>69</v>
      </c>
      <c r="BI6">
        <v>42.016806722689076</v>
      </c>
      <c r="BJ6">
        <v>18.676408907357867</v>
      </c>
    </row>
    <row r="7" spans="1:62" s="3" customFormat="1" ht="15" x14ac:dyDescent="0.25">
      <c r="A7" s="44" t="s">
        <v>50</v>
      </c>
      <c r="B7" s="44"/>
      <c r="C7" s="3" t="s">
        <v>131</v>
      </c>
      <c r="D7" s="3">
        <v>12.5</v>
      </c>
      <c r="E7" s="3">
        <v>14.6</v>
      </c>
      <c r="F7" s="3">
        <v>540</v>
      </c>
      <c r="G7" s="3">
        <v>14</v>
      </c>
      <c r="H7" t="s">
        <v>48</v>
      </c>
      <c r="I7" s="3">
        <v>28</v>
      </c>
      <c r="J7" s="8">
        <v>0.33200000000000002</v>
      </c>
      <c r="L7" s="3">
        <v>139</v>
      </c>
      <c r="M7" s="13">
        <v>407</v>
      </c>
      <c r="N7" s="13">
        <v>81</v>
      </c>
      <c r="O7" s="7">
        <v>41.7</v>
      </c>
      <c r="P7" s="7"/>
      <c r="Q7" s="3" t="s">
        <v>48</v>
      </c>
      <c r="R7" s="3">
        <v>306</v>
      </c>
      <c r="S7" s="7">
        <v>24.8</v>
      </c>
      <c r="T7" s="51">
        <f>407-167</f>
        <v>240</v>
      </c>
      <c r="U7" s="54">
        <v>38.5</v>
      </c>
      <c r="V7" s="54">
        <v>167</v>
      </c>
      <c r="W7" s="51">
        <f>((187-V7)/187)*100</f>
        <v>10.695187165775401</v>
      </c>
      <c r="Y7" s="3" t="s">
        <v>48</v>
      </c>
      <c r="Z7" t="s">
        <v>48</v>
      </c>
      <c r="AA7" s="3">
        <v>0.83599999999999997</v>
      </c>
      <c r="AC7" s="3">
        <v>576</v>
      </c>
      <c r="AD7" s="3">
        <v>8.3999999999999995E-3</v>
      </c>
      <c r="AF7" s="3" t="s">
        <v>48</v>
      </c>
      <c r="AG7" s="3" t="s">
        <v>48</v>
      </c>
      <c r="AH7" s="3" t="s">
        <v>48</v>
      </c>
      <c r="AI7" s="3" t="s">
        <v>48</v>
      </c>
      <c r="AK7" s="44"/>
      <c r="AL7" s="3" t="s">
        <v>132</v>
      </c>
      <c r="AO7" s="3">
        <v>15</v>
      </c>
      <c r="AP7">
        <v>2</v>
      </c>
      <c r="AQ7">
        <v>1</v>
      </c>
      <c r="AR7"/>
      <c r="AS7">
        <f t="shared" si="4"/>
        <v>23.56700413903814</v>
      </c>
      <c r="AT7"/>
      <c r="AU7">
        <f t="shared" si="5"/>
        <v>18.676408907357867</v>
      </c>
      <c r="BG7" s="3">
        <v>139</v>
      </c>
      <c r="BH7" s="3">
        <v>81</v>
      </c>
      <c r="BI7" s="3">
        <v>41.7</v>
      </c>
      <c r="BJ7" s="3">
        <v>18.676408907357867</v>
      </c>
    </row>
    <row r="8" spans="1:62" ht="15" x14ac:dyDescent="0.25">
      <c r="A8" s="45" t="s">
        <v>50</v>
      </c>
      <c r="B8" s="45"/>
      <c r="C8" t="s">
        <v>48</v>
      </c>
      <c r="D8" s="19">
        <v>1</v>
      </c>
      <c r="E8">
        <v>18</v>
      </c>
      <c r="F8">
        <v>730</v>
      </c>
      <c r="G8">
        <v>8</v>
      </c>
      <c r="H8" s="19">
        <f>(1.728/24)/(0.457^2)</f>
        <v>0.34474668301021311</v>
      </c>
      <c r="I8">
        <v>12</v>
      </c>
      <c r="J8">
        <v>1.3</v>
      </c>
      <c r="L8">
        <v>510</v>
      </c>
      <c r="M8" s="6">
        <v>760</v>
      </c>
      <c r="N8" s="6"/>
      <c r="O8" s="9">
        <v>83</v>
      </c>
      <c r="P8" s="9"/>
      <c r="S8" s="9">
        <v>43</v>
      </c>
      <c r="T8" s="9"/>
      <c r="Z8" t="s">
        <v>48</v>
      </c>
      <c r="AA8" t="s">
        <v>48</v>
      </c>
      <c r="AC8" t="s">
        <v>48</v>
      </c>
      <c r="AD8" t="s">
        <v>48</v>
      </c>
      <c r="AF8" s="3" t="s">
        <v>48</v>
      </c>
      <c r="AG8" s="3" t="s">
        <v>48</v>
      </c>
      <c r="AI8">
        <v>0.24</v>
      </c>
      <c r="AK8" t="s">
        <v>99</v>
      </c>
      <c r="AO8">
        <v>9</v>
      </c>
      <c r="AP8">
        <v>2</v>
      </c>
      <c r="AQ8">
        <v>1</v>
      </c>
      <c r="AS8">
        <f t="shared" si="4"/>
        <v>15.249237972318797</v>
      </c>
      <c r="AU8">
        <f t="shared" si="5"/>
        <v>12.084735175349207</v>
      </c>
      <c r="BG8">
        <v>510</v>
      </c>
      <c r="BI8">
        <v>83</v>
      </c>
      <c r="BJ8">
        <v>12.084735175349207</v>
      </c>
    </row>
    <row r="9" spans="1:62" ht="15" x14ac:dyDescent="0.25">
      <c r="A9" s="45" t="s">
        <v>50</v>
      </c>
      <c r="B9" s="45"/>
      <c r="C9" t="s">
        <v>48</v>
      </c>
      <c r="D9" s="10">
        <v>4.4999999999999998E-2</v>
      </c>
      <c r="E9" s="3">
        <v>16.600000000000001</v>
      </c>
      <c r="F9" s="3">
        <v>35</v>
      </c>
      <c r="G9" s="3">
        <v>5</v>
      </c>
      <c r="H9" s="3">
        <v>1.0999999999999999E-2</v>
      </c>
      <c r="I9" s="3">
        <v>72</v>
      </c>
      <c r="J9" s="8">
        <f>((M9*(D9/I9)*24)/1000)/D9</f>
        <v>0.24666666666666673</v>
      </c>
      <c r="K9" s="1"/>
      <c r="L9" s="6">
        <v>310</v>
      </c>
      <c r="M9" s="6">
        <v>740</v>
      </c>
      <c r="N9" s="6"/>
      <c r="O9" s="7">
        <v>84.5</v>
      </c>
      <c r="P9" s="7"/>
      <c r="Q9" s="3" t="s">
        <v>48</v>
      </c>
      <c r="R9" s="54">
        <v>241</v>
      </c>
      <c r="S9" s="51">
        <v>69.599999999999994</v>
      </c>
      <c r="T9" s="51">
        <f>R9-V9</f>
        <v>74</v>
      </c>
      <c r="U9" s="51">
        <v>67.7</v>
      </c>
      <c r="V9" s="51">
        <v>167</v>
      </c>
      <c r="W9" s="51">
        <v>48</v>
      </c>
      <c r="X9" s="1"/>
      <c r="Y9" s="1"/>
      <c r="Z9" t="s">
        <v>48</v>
      </c>
      <c r="AA9" s="3" t="s">
        <v>48</v>
      </c>
      <c r="AB9" s="7" t="s">
        <v>48</v>
      </c>
      <c r="AC9" t="s">
        <v>48</v>
      </c>
      <c r="AD9" t="s">
        <v>48</v>
      </c>
      <c r="AE9" s="1"/>
      <c r="AF9" s="3" t="s">
        <v>48</v>
      </c>
      <c r="AG9" s="3" t="s">
        <v>48</v>
      </c>
      <c r="AH9" s="3" t="s">
        <v>48</v>
      </c>
      <c r="AI9" s="7" t="s">
        <v>48</v>
      </c>
      <c r="AJ9" s="1"/>
      <c r="AK9" s="44" t="s">
        <v>135</v>
      </c>
      <c r="AL9" t="s">
        <v>190</v>
      </c>
      <c r="AO9">
        <v>6</v>
      </c>
      <c r="AP9">
        <v>2</v>
      </c>
      <c r="AQ9">
        <v>1</v>
      </c>
      <c r="AS9">
        <f t="shared" si="4"/>
        <v>11.090354888959125</v>
      </c>
      <c r="AU9">
        <f t="shared" si="5"/>
        <v>8.7888983093448783</v>
      </c>
      <c r="BG9">
        <v>310</v>
      </c>
      <c r="BI9">
        <v>84.5</v>
      </c>
      <c r="BJ9">
        <v>8.7888983093448783</v>
      </c>
    </row>
    <row r="10" spans="1:62" ht="15" x14ac:dyDescent="0.25">
      <c r="A10" s="45" t="s">
        <v>50</v>
      </c>
      <c r="B10" s="45"/>
      <c r="C10" t="s">
        <v>48</v>
      </c>
      <c r="D10" s="10">
        <v>4.4999999999999998E-2</v>
      </c>
      <c r="E10" s="3">
        <v>16.600000000000001</v>
      </c>
      <c r="F10" s="3">
        <v>35</v>
      </c>
      <c r="G10" s="3">
        <v>5</v>
      </c>
      <c r="H10" s="3">
        <v>1.6E-2</v>
      </c>
      <c r="I10" s="3">
        <v>48</v>
      </c>
      <c r="J10" s="8">
        <f>((M10*(D10/I10)*24)/1000)/D10</f>
        <v>0.46195000000000003</v>
      </c>
      <c r="K10" s="1"/>
      <c r="L10" s="6">
        <v>310</v>
      </c>
      <c r="M10" s="6">
        <v>923.9</v>
      </c>
      <c r="N10" s="6"/>
      <c r="O10" s="7">
        <v>85.7</v>
      </c>
      <c r="P10" s="7"/>
      <c r="Q10" s="3" t="s">
        <v>48</v>
      </c>
      <c r="R10" s="54">
        <v>241</v>
      </c>
      <c r="S10" s="51">
        <v>70.099999999999994</v>
      </c>
      <c r="T10" s="51">
        <f>R10-V10</f>
        <v>74</v>
      </c>
      <c r="U10" s="54">
        <v>87</v>
      </c>
      <c r="V10" s="54">
        <v>167</v>
      </c>
      <c r="W10" s="54">
        <v>39.4</v>
      </c>
      <c r="X10" s="1"/>
      <c r="Y10" s="1"/>
      <c r="Z10" t="s">
        <v>48</v>
      </c>
      <c r="AA10" s="3" t="s">
        <v>48</v>
      </c>
      <c r="AB10" s="7" t="s">
        <v>48</v>
      </c>
      <c r="AC10" t="s">
        <v>48</v>
      </c>
      <c r="AD10" t="s">
        <v>48</v>
      </c>
      <c r="AE10" s="1"/>
      <c r="AF10" s="3" t="s">
        <v>48</v>
      </c>
      <c r="AG10" s="3" t="s">
        <v>48</v>
      </c>
      <c r="AH10" s="3" t="s">
        <v>48</v>
      </c>
      <c r="AI10" s="7" t="s">
        <v>48</v>
      </c>
      <c r="AJ10" s="1"/>
      <c r="AK10" s="44"/>
      <c r="AO10">
        <v>6</v>
      </c>
      <c r="AP10">
        <v>2</v>
      </c>
      <c r="AQ10">
        <v>1</v>
      </c>
      <c r="AS10">
        <f t="shared" si="4"/>
        <v>11.090354888959125</v>
      </c>
      <c r="AU10">
        <f t="shared" si="5"/>
        <v>8.7888983093448783</v>
      </c>
      <c r="BG10">
        <v>310</v>
      </c>
      <c r="BI10">
        <v>85.7</v>
      </c>
      <c r="BJ10">
        <v>8.7888983093448783</v>
      </c>
    </row>
    <row r="11" spans="1:62" ht="15" x14ac:dyDescent="0.25">
      <c r="A11" s="45" t="s">
        <v>50</v>
      </c>
      <c r="B11" s="45"/>
      <c r="C11" t="s">
        <v>48</v>
      </c>
      <c r="D11" s="16">
        <v>0.1</v>
      </c>
      <c r="E11">
        <v>20</v>
      </c>
      <c r="F11" s="3" t="s">
        <v>48</v>
      </c>
      <c r="G11" s="3">
        <v>9</v>
      </c>
      <c r="I11">
        <v>48</v>
      </c>
      <c r="J11" s="8">
        <f>((M11*(D11/I11)*24)/1000)/D11</f>
        <v>0.12919999999999998</v>
      </c>
      <c r="K11" s="1"/>
      <c r="L11" s="6">
        <v>276</v>
      </c>
      <c r="M11" s="9">
        <v>258.39999999999998</v>
      </c>
      <c r="N11" s="9"/>
      <c r="O11" s="7" t="s">
        <v>48</v>
      </c>
      <c r="P11" s="7"/>
      <c r="Q11" s="3" t="s">
        <v>48</v>
      </c>
      <c r="R11" s="3"/>
      <c r="S11">
        <v>59</v>
      </c>
      <c r="U11" s="3" t="s">
        <v>48</v>
      </c>
      <c r="V11" s="3"/>
      <c r="W11" s="3"/>
      <c r="X11" s="1"/>
      <c r="Y11" s="1"/>
      <c r="Z11" s="7" t="s">
        <v>48</v>
      </c>
      <c r="AA11" s="3" t="s">
        <v>48</v>
      </c>
      <c r="AB11" s="7" t="s">
        <v>48</v>
      </c>
      <c r="AC11" s="3" t="s">
        <v>48</v>
      </c>
      <c r="AD11" s="7" t="s">
        <v>48</v>
      </c>
      <c r="AE11" s="1"/>
      <c r="AF11" s="3" t="s">
        <v>48</v>
      </c>
      <c r="AG11" s="3" t="s">
        <v>48</v>
      </c>
      <c r="AH11" s="3" t="s">
        <v>48</v>
      </c>
      <c r="AI11" s="7" t="s">
        <v>48</v>
      </c>
      <c r="AJ11" s="1"/>
      <c r="AK11" s="44" t="s">
        <v>136</v>
      </c>
      <c r="AO11">
        <v>10</v>
      </c>
      <c r="AP11">
        <v>2</v>
      </c>
      <c r="AQ11">
        <v>1</v>
      </c>
      <c r="AS11">
        <f t="shared" ref="AS11:AS18" si="6">(AP11+AO11)*LN((AP11+2))</f>
        <v>16.635532333438686</v>
      </c>
      <c r="AU11">
        <f t="shared" ref="AU11:AU18" si="7">(AP11+AO11)*LN(AQ11+2)</f>
        <v>13.183347464017316</v>
      </c>
    </row>
    <row r="12" spans="1:62" ht="15" x14ac:dyDescent="0.25">
      <c r="A12" s="45" t="s">
        <v>50</v>
      </c>
      <c r="B12" s="45"/>
      <c r="C12" t="s">
        <v>48</v>
      </c>
      <c r="D12" s="16">
        <v>0.1</v>
      </c>
      <c r="E12">
        <v>20</v>
      </c>
      <c r="F12" s="3" t="s">
        <v>48</v>
      </c>
      <c r="G12" s="3">
        <v>9</v>
      </c>
      <c r="H12" s="3"/>
      <c r="I12">
        <v>72</v>
      </c>
      <c r="J12" s="8">
        <f>((M12*(D12/I12)*24)/1000)/D12</f>
        <v>8.613333333333334E-2</v>
      </c>
      <c r="K12" s="1"/>
      <c r="L12" s="6">
        <v>276</v>
      </c>
      <c r="M12" s="9">
        <v>258.39999999999998</v>
      </c>
      <c r="N12" s="9"/>
      <c r="O12" s="7" t="s">
        <v>48</v>
      </c>
      <c r="P12" s="7"/>
      <c r="Q12" s="3" t="s">
        <v>48</v>
      </c>
      <c r="R12" s="3"/>
      <c r="S12">
        <v>64</v>
      </c>
      <c r="U12" s="3" t="s">
        <v>48</v>
      </c>
      <c r="V12" s="3"/>
      <c r="W12" s="3"/>
      <c r="X12" s="1"/>
      <c r="Y12" s="1"/>
      <c r="Z12" s="7" t="s">
        <v>48</v>
      </c>
      <c r="AA12" s="3" t="s">
        <v>48</v>
      </c>
      <c r="AB12" s="7" t="s">
        <v>48</v>
      </c>
      <c r="AC12" s="3" t="s">
        <v>48</v>
      </c>
      <c r="AD12" s="7" t="s">
        <v>48</v>
      </c>
      <c r="AE12" s="1"/>
      <c r="AF12" s="3" t="s">
        <v>48</v>
      </c>
      <c r="AG12" s="3" t="s">
        <v>48</v>
      </c>
      <c r="AH12" s="3" t="s">
        <v>48</v>
      </c>
      <c r="AI12" s="7" t="s">
        <v>48</v>
      </c>
      <c r="AJ12" s="1"/>
      <c r="AK12" s="44"/>
      <c r="AO12">
        <v>10</v>
      </c>
      <c r="AP12">
        <v>2</v>
      </c>
      <c r="AQ12">
        <v>1</v>
      </c>
      <c r="AS12">
        <f t="shared" si="6"/>
        <v>16.635532333438686</v>
      </c>
      <c r="AU12">
        <f t="shared" si="7"/>
        <v>13.183347464017316</v>
      </c>
    </row>
    <row r="13" spans="1:62" ht="15" x14ac:dyDescent="0.25">
      <c r="A13" s="45" t="s">
        <v>50</v>
      </c>
      <c r="B13" s="45"/>
      <c r="C13" t="s">
        <v>48</v>
      </c>
      <c r="D13" s="16">
        <v>0.1</v>
      </c>
      <c r="E13">
        <v>20</v>
      </c>
      <c r="F13" s="3" t="s">
        <v>48</v>
      </c>
      <c r="G13" s="3">
        <v>9</v>
      </c>
      <c r="H13" s="3"/>
      <c r="I13">
        <v>96</v>
      </c>
      <c r="J13" s="8">
        <f>((M13*(D13/I13)*24)/1000)/D13</f>
        <v>6.4599999999999991E-2</v>
      </c>
      <c r="K13" s="1"/>
      <c r="L13" s="6">
        <v>276</v>
      </c>
      <c r="M13" s="9">
        <v>258.39999999999998</v>
      </c>
      <c r="N13" s="9"/>
      <c r="O13" s="7" t="s">
        <v>48</v>
      </c>
      <c r="P13" s="7"/>
      <c r="Q13" s="3" t="s">
        <v>48</v>
      </c>
      <c r="R13" s="3"/>
      <c r="S13">
        <v>67</v>
      </c>
      <c r="U13" s="3" t="s">
        <v>48</v>
      </c>
      <c r="V13" s="3"/>
      <c r="W13" s="3"/>
      <c r="X13" s="1"/>
      <c r="Y13" s="1"/>
      <c r="Z13" s="7" t="s">
        <v>48</v>
      </c>
      <c r="AA13" s="3" t="s">
        <v>48</v>
      </c>
      <c r="AB13" s="7" t="s">
        <v>48</v>
      </c>
      <c r="AC13" s="3" t="s">
        <v>48</v>
      </c>
      <c r="AD13" s="7" t="s">
        <v>48</v>
      </c>
      <c r="AE13" s="1"/>
      <c r="AF13" s="3" t="s">
        <v>48</v>
      </c>
      <c r="AG13" s="3" t="s">
        <v>48</v>
      </c>
      <c r="AH13" s="3" t="s">
        <v>48</v>
      </c>
      <c r="AI13" s="7" t="s">
        <v>48</v>
      </c>
      <c r="AJ13" s="1"/>
      <c r="AK13" s="44"/>
      <c r="AO13">
        <v>10</v>
      </c>
      <c r="AP13">
        <v>2</v>
      </c>
      <c r="AQ13">
        <v>1</v>
      </c>
      <c r="AS13">
        <f t="shared" si="6"/>
        <v>16.635532333438686</v>
      </c>
      <c r="AU13">
        <f t="shared" si="7"/>
        <v>13.183347464017316</v>
      </c>
    </row>
    <row r="14" spans="1:62" ht="15" x14ac:dyDescent="0.25">
      <c r="A14" s="45" t="s">
        <v>50</v>
      </c>
      <c r="B14" s="45"/>
      <c r="C14" t="s">
        <v>48</v>
      </c>
      <c r="D14" s="16">
        <v>0.1</v>
      </c>
      <c r="E14">
        <v>20</v>
      </c>
      <c r="F14" s="3" t="s">
        <v>48</v>
      </c>
      <c r="G14" s="3">
        <v>9</v>
      </c>
      <c r="H14" s="3"/>
      <c r="I14">
        <v>120</v>
      </c>
      <c r="J14" s="8">
        <f>((M14*(D14/I14)*24)/1000)/D14</f>
        <v>5.167999999999999E-2</v>
      </c>
      <c r="K14" s="1"/>
      <c r="L14" s="6">
        <v>276</v>
      </c>
      <c r="M14" s="9">
        <v>258.39999999999998</v>
      </c>
      <c r="N14" s="9"/>
      <c r="O14" s="7" t="s">
        <v>48</v>
      </c>
      <c r="P14" s="7"/>
      <c r="Q14" s="3" t="s">
        <v>48</v>
      </c>
      <c r="R14" s="3"/>
      <c r="S14">
        <v>68</v>
      </c>
      <c r="U14" s="3" t="s">
        <v>48</v>
      </c>
      <c r="V14" s="3"/>
      <c r="W14" s="3"/>
      <c r="X14" s="1"/>
      <c r="Y14" s="1"/>
      <c r="Z14" s="7" t="s">
        <v>48</v>
      </c>
      <c r="AA14" s="3" t="s">
        <v>48</v>
      </c>
      <c r="AB14" s="7" t="s">
        <v>48</v>
      </c>
      <c r="AC14" s="3" t="s">
        <v>48</v>
      </c>
      <c r="AD14" s="7" t="s">
        <v>48</v>
      </c>
      <c r="AE14" s="1"/>
      <c r="AF14" s="3" t="s">
        <v>48</v>
      </c>
      <c r="AG14" s="3" t="s">
        <v>48</v>
      </c>
      <c r="AH14" s="3" t="s">
        <v>48</v>
      </c>
      <c r="AI14" s="7" t="s">
        <v>48</v>
      </c>
      <c r="AJ14" s="1"/>
      <c r="AK14" s="44"/>
      <c r="AO14">
        <v>10</v>
      </c>
      <c r="AP14">
        <v>2</v>
      </c>
      <c r="AQ14">
        <v>1</v>
      </c>
      <c r="AS14">
        <f t="shared" si="6"/>
        <v>16.635532333438686</v>
      </c>
      <c r="AU14">
        <f t="shared" si="7"/>
        <v>13.183347464017316</v>
      </c>
    </row>
    <row r="15" spans="1:62" ht="15" x14ac:dyDescent="0.25">
      <c r="A15" s="45" t="s">
        <v>50</v>
      </c>
      <c r="B15" s="45"/>
      <c r="C15" t="s">
        <v>48</v>
      </c>
      <c r="D15" s="16">
        <v>0.1</v>
      </c>
      <c r="E15">
        <v>9</v>
      </c>
      <c r="F15" s="3" t="s">
        <v>48</v>
      </c>
      <c r="G15" s="3">
        <v>9</v>
      </c>
      <c r="H15" s="3"/>
      <c r="I15">
        <v>72</v>
      </c>
      <c r="J15" s="8">
        <f>((M15*(D15/I15)*24)/1000)/D15</f>
        <v>8.613333333333334E-2</v>
      </c>
      <c r="K15" s="1"/>
      <c r="L15" s="6">
        <v>276</v>
      </c>
      <c r="M15" s="9">
        <v>258.39999999999998</v>
      </c>
      <c r="N15" s="9"/>
      <c r="O15" s="7" t="s">
        <v>48</v>
      </c>
      <c r="P15" s="7"/>
      <c r="Q15" s="3" t="s">
        <v>48</v>
      </c>
      <c r="R15" s="3"/>
      <c r="S15">
        <v>51</v>
      </c>
      <c r="U15" s="3" t="s">
        <v>48</v>
      </c>
      <c r="V15" s="3"/>
      <c r="W15" s="3"/>
      <c r="X15" s="1"/>
      <c r="Y15" s="1"/>
      <c r="Z15" s="7" t="s">
        <v>48</v>
      </c>
      <c r="AA15" s="3" t="s">
        <v>48</v>
      </c>
      <c r="AB15" s="7" t="s">
        <v>48</v>
      </c>
      <c r="AC15" s="3" t="s">
        <v>48</v>
      </c>
      <c r="AD15" s="7" t="s">
        <v>48</v>
      </c>
      <c r="AE15" s="1"/>
      <c r="AF15" s="3" t="s">
        <v>48</v>
      </c>
      <c r="AG15" s="3" t="s">
        <v>48</v>
      </c>
      <c r="AH15" s="3" t="s">
        <v>48</v>
      </c>
      <c r="AI15" s="7" t="s">
        <v>48</v>
      </c>
      <c r="AJ15" s="1"/>
      <c r="AK15" s="44"/>
      <c r="AO15">
        <v>10</v>
      </c>
      <c r="AP15">
        <v>2</v>
      </c>
      <c r="AQ15">
        <v>1</v>
      </c>
      <c r="AS15">
        <f t="shared" si="6"/>
        <v>16.635532333438686</v>
      </c>
      <c r="AU15">
        <f t="shared" si="7"/>
        <v>13.183347464017316</v>
      </c>
    </row>
    <row r="16" spans="1:62" ht="15" x14ac:dyDescent="0.25">
      <c r="A16" s="45" t="s">
        <v>50</v>
      </c>
      <c r="B16" s="45"/>
      <c r="C16" t="s">
        <v>48</v>
      </c>
      <c r="D16" s="16">
        <v>0.1</v>
      </c>
      <c r="E16">
        <v>9</v>
      </c>
      <c r="F16" s="3" t="s">
        <v>48</v>
      </c>
      <c r="G16" s="3">
        <v>9</v>
      </c>
      <c r="H16" s="3"/>
      <c r="I16">
        <v>96</v>
      </c>
      <c r="J16" s="8">
        <f>((M16*(D16/I16)*24)/1000)/D16</f>
        <v>6.4599999999999991E-2</v>
      </c>
      <c r="K16" s="1"/>
      <c r="L16" s="6">
        <v>276</v>
      </c>
      <c r="M16" s="9">
        <v>258.39999999999998</v>
      </c>
      <c r="N16" s="9"/>
      <c r="O16" s="7" t="s">
        <v>48</v>
      </c>
      <c r="P16" s="7"/>
      <c r="Q16" s="3" t="s">
        <v>48</v>
      </c>
      <c r="R16" s="3"/>
      <c r="S16">
        <v>55</v>
      </c>
      <c r="U16" s="3" t="s">
        <v>48</v>
      </c>
      <c r="V16" s="3"/>
      <c r="W16" s="3"/>
      <c r="X16" s="1"/>
      <c r="Y16" s="1"/>
      <c r="Z16" s="7" t="s">
        <v>48</v>
      </c>
      <c r="AA16" s="3" t="s">
        <v>48</v>
      </c>
      <c r="AB16" s="7" t="s">
        <v>48</v>
      </c>
      <c r="AC16" s="3" t="s">
        <v>48</v>
      </c>
      <c r="AD16" s="7" t="s">
        <v>48</v>
      </c>
      <c r="AE16" s="1"/>
      <c r="AF16" s="3" t="s">
        <v>48</v>
      </c>
      <c r="AG16" s="3" t="s">
        <v>48</v>
      </c>
      <c r="AH16" s="3" t="s">
        <v>48</v>
      </c>
      <c r="AI16" s="7" t="s">
        <v>48</v>
      </c>
      <c r="AJ16" s="1"/>
      <c r="AK16" s="44"/>
      <c r="AO16">
        <v>10</v>
      </c>
      <c r="AP16">
        <v>2</v>
      </c>
      <c r="AQ16">
        <v>1</v>
      </c>
      <c r="AS16">
        <f t="shared" si="6"/>
        <v>16.635532333438686</v>
      </c>
      <c r="AU16">
        <f t="shared" si="7"/>
        <v>13.183347464017316</v>
      </c>
    </row>
    <row r="17" spans="1:62" ht="15" x14ac:dyDescent="0.25">
      <c r="A17" s="45" t="s">
        <v>50</v>
      </c>
      <c r="B17" s="45"/>
      <c r="C17" t="s">
        <v>48</v>
      </c>
      <c r="D17" s="16">
        <v>0.1</v>
      </c>
      <c r="E17">
        <v>9</v>
      </c>
      <c r="F17" s="3" t="s">
        <v>48</v>
      </c>
      <c r="G17" s="3">
        <v>9</v>
      </c>
      <c r="H17" s="3"/>
      <c r="I17">
        <v>120</v>
      </c>
      <c r="J17" s="8">
        <f>((M17*(D17/I17)*24)/1000)/D17</f>
        <v>5.167999999999999E-2</v>
      </c>
      <c r="K17" s="1"/>
      <c r="L17" s="6">
        <v>276</v>
      </c>
      <c r="M17" s="9">
        <v>258.39999999999998</v>
      </c>
      <c r="N17" s="9"/>
      <c r="O17" s="7" t="s">
        <v>48</v>
      </c>
      <c r="P17" s="7"/>
      <c r="Q17" s="3" t="s">
        <v>48</v>
      </c>
      <c r="R17" s="3"/>
      <c r="S17">
        <v>61</v>
      </c>
      <c r="U17" s="3" t="s">
        <v>48</v>
      </c>
      <c r="V17" s="3"/>
      <c r="W17" s="3"/>
      <c r="X17" s="1"/>
      <c r="Y17" s="1"/>
      <c r="Z17" s="7" t="s">
        <v>48</v>
      </c>
      <c r="AA17" s="3" t="s">
        <v>48</v>
      </c>
      <c r="AB17" s="7" t="s">
        <v>48</v>
      </c>
      <c r="AC17" s="3" t="s">
        <v>48</v>
      </c>
      <c r="AD17" s="7" t="s">
        <v>48</v>
      </c>
      <c r="AE17" s="1"/>
      <c r="AF17" s="3" t="s">
        <v>48</v>
      </c>
      <c r="AG17" s="3" t="s">
        <v>48</v>
      </c>
      <c r="AH17" s="3" t="s">
        <v>48</v>
      </c>
      <c r="AI17" s="7" t="s">
        <v>48</v>
      </c>
      <c r="AJ17" s="1"/>
      <c r="AK17" s="44"/>
      <c r="AO17">
        <v>10</v>
      </c>
      <c r="AP17">
        <v>2</v>
      </c>
      <c r="AQ17">
        <v>1</v>
      </c>
      <c r="AS17">
        <f t="shared" si="6"/>
        <v>16.635532333438686</v>
      </c>
      <c r="AU17">
        <f t="shared" si="7"/>
        <v>13.183347464017316</v>
      </c>
    </row>
    <row r="18" spans="1:62" ht="15" x14ac:dyDescent="0.25">
      <c r="A18" s="45" t="s">
        <v>50</v>
      </c>
      <c r="B18" s="45"/>
      <c r="C18" t="s">
        <v>48</v>
      </c>
      <c r="D18" s="16">
        <v>0.1</v>
      </c>
      <c r="E18">
        <v>9</v>
      </c>
      <c r="F18" s="3" t="s">
        <v>48</v>
      </c>
      <c r="G18" s="3">
        <v>9</v>
      </c>
      <c r="H18" s="3"/>
      <c r="I18">
        <v>144</v>
      </c>
      <c r="J18" s="8">
        <f>((M18*(D18/I18)*24)/1000)/D18</f>
        <v>4.306666666666667E-2</v>
      </c>
      <c r="K18" s="1"/>
      <c r="L18" s="6">
        <v>276</v>
      </c>
      <c r="M18" s="9">
        <v>258.39999999999998</v>
      </c>
      <c r="N18" s="9"/>
      <c r="O18" s="7" t="s">
        <v>48</v>
      </c>
      <c r="P18" s="7"/>
      <c r="Q18" s="3" t="s">
        <v>48</v>
      </c>
      <c r="R18" s="3"/>
      <c r="S18">
        <v>62</v>
      </c>
      <c r="U18" s="3" t="s">
        <v>48</v>
      </c>
      <c r="V18" s="3"/>
      <c r="W18" s="3"/>
      <c r="X18" s="1"/>
      <c r="Y18" s="1"/>
      <c r="Z18" s="7" t="s">
        <v>48</v>
      </c>
      <c r="AA18" s="3" t="s">
        <v>48</v>
      </c>
      <c r="AB18" s="7" t="s">
        <v>48</v>
      </c>
      <c r="AC18" s="3" t="s">
        <v>48</v>
      </c>
      <c r="AD18" s="7" t="s">
        <v>48</v>
      </c>
      <c r="AE18" s="1"/>
      <c r="AF18" s="3" t="s">
        <v>48</v>
      </c>
      <c r="AG18" s="3" t="s">
        <v>48</v>
      </c>
      <c r="AH18" s="3" t="s">
        <v>48</v>
      </c>
      <c r="AI18" s="7" t="s">
        <v>48</v>
      </c>
      <c r="AJ18" s="1"/>
      <c r="AK18" s="44"/>
      <c r="AO18">
        <v>10</v>
      </c>
      <c r="AP18">
        <v>2</v>
      </c>
      <c r="AQ18">
        <v>1</v>
      </c>
      <c r="AS18">
        <f t="shared" si="6"/>
        <v>16.635532333438686</v>
      </c>
      <c r="AU18">
        <f t="shared" si="7"/>
        <v>13.183347464017316</v>
      </c>
    </row>
    <row r="19" spans="1:62" ht="15" x14ac:dyDescent="0.25">
      <c r="A19" s="45" t="s">
        <v>50</v>
      </c>
      <c r="B19" s="45"/>
      <c r="C19" t="s">
        <v>48</v>
      </c>
      <c r="D19" s="10">
        <v>8.9999999999999993E-3</v>
      </c>
      <c r="E19" s="3">
        <v>15</v>
      </c>
      <c r="F19" s="3">
        <v>16</v>
      </c>
      <c r="G19" s="3">
        <v>8</v>
      </c>
      <c r="H19" s="3"/>
      <c r="I19">
        <v>48</v>
      </c>
      <c r="J19" s="8">
        <f>((M19*(D19/I19)*24)/1000)/D19</f>
        <v>0.18749999999999997</v>
      </c>
      <c r="K19" s="1"/>
      <c r="L19">
        <v>178</v>
      </c>
      <c r="M19">
        <v>375</v>
      </c>
      <c r="O19">
        <v>54</v>
      </c>
      <c r="Q19" s="3" t="s">
        <v>48</v>
      </c>
      <c r="R19" s="3"/>
      <c r="S19">
        <v>56</v>
      </c>
      <c r="U19" s="3" t="s">
        <v>48</v>
      </c>
      <c r="V19" s="3"/>
      <c r="W19" s="3"/>
      <c r="X19" s="1"/>
      <c r="Y19" s="1"/>
      <c r="Z19" s="7" t="s">
        <v>48</v>
      </c>
      <c r="AA19" s="3" t="s">
        <v>48</v>
      </c>
      <c r="AB19" s="7" t="s">
        <v>48</v>
      </c>
      <c r="AC19" s="3" t="s">
        <v>48</v>
      </c>
      <c r="AD19" s="7" t="s">
        <v>48</v>
      </c>
      <c r="AE19" s="1"/>
      <c r="AF19" s="3" t="s">
        <v>48</v>
      </c>
      <c r="AG19" s="3" t="s">
        <v>48</v>
      </c>
      <c r="AH19" s="3" t="s">
        <v>48</v>
      </c>
      <c r="AI19" s="7" t="s">
        <v>48</v>
      </c>
      <c r="AJ19" s="1"/>
      <c r="AK19" s="44" t="s">
        <v>65</v>
      </c>
      <c r="AO19">
        <v>9</v>
      </c>
      <c r="AP19">
        <v>2</v>
      </c>
      <c r="AQ19">
        <v>1</v>
      </c>
      <c r="AS19">
        <f t="shared" ref="AS19:AS24" si="8">(AP19+AO19)*LN((AP19+2))</f>
        <v>15.249237972318797</v>
      </c>
      <c r="AU19">
        <f t="shared" ref="AU19:AU24" si="9">(AP19+AO19)*LN(AQ19+2)</f>
        <v>12.084735175349207</v>
      </c>
      <c r="BG19">
        <v>178</v>
      </c>
      <c r="BI19">
        <v>54</v>
      </c>
      <c r="BJ19">
        <v>12.084735175349207</v>
      </c>
    </row>
    <row r="20" spans="1:62" ht="15" x14ac:dyDescent="0.25">
      <c r="A20" s="45" t="s">
        <v>50</v>
      </c>
      <c r="B20" s="45"/>
      <c r="C20" t="s">
        <v>48</v>
      </c>
      <c r="D20" s="10">
        <v>8.9999999999999993E-3</v>
      </c>
      <c r="E20" s="3">
        <v>15</v>
      </c>
      <c r="F20" s="3">
        <v>16</v>
      </c>
      <c r="G20" s="3">
        <v>8</v>
      </c>
      <c r="H20" s="3"/>
      <c r="I20">
        <v>24</v>
      </c>
      <c r="J20" s="8">
        <f>((M20*(D20/I20)*24)/1000)/D20</f>
        <v>0.37599999999999995</v>
      </c>
      <c r="K20" s="1"/>
      <c r="L20">
        <v>179</v>
      </c>
      <c r="M20">
        <v>376</v>
      </c>
      <c r="O20">
        <v>50</v>
      </c>
      <c r="Q20" s="3" t="s">
        <v>48</v>
      </c>
      <c r="R20" s="3"/>
      <c r="S20">
        <v>53</v>
      </c>
      <c r="U20" s="3" t="s">
        <v>48</v>
      </c>
      <c r="V20" s="3"/>
      <c r="W20" s="3"/>
      <c r="X20" s="1"/>
      <c r="Y20" s="1"/>
      <c r="Z20" s="7" t="s">
        <v>48</v>
      </c>
      <c r="AA20" s="3" t="s">
        <v>48</v>
      </c>
      <c r="AB20" s="7" t="s">
        <v>48</v>
      </c>
      <c r="AC20" s="3" t="s">
        <v>48</v>
      </c>
      <c r="AD20" s="7" t="s">
        <v>48</v>
      </c>
      <c r="AE20" s="1"/>
      <c r="AF20" s="3" t="s">
        <v>48</v>
      </c>
      <c r="AG20" s="3" t="s">
        <v>48</v>
      </c>
      <c r="AH20" s="3" t="s">
        <v>48</v>
      </c>
      <c r="AI20" s="7" t="s">
        <v>48</v>
      </c>
      <c r="AJ20" s="1"/>
      <c r="AK20" s="44"/>
      <c r="AO20">
        <v>9</v>
      </c>
      <c r="AP20">
        <v>2</v>
      </c>
      <c r="AQ20">
        <v>1</v>
      </c>
      <c r="AS20">
        <f t="shared" si="8"/>
        <v>15.249237972318797</v>
      </c>
      <c r="AU20">
        <f t="shared" si="9"/>
        <v>12.084735175349207</v>
      </c>
      <c r="BG20">
        <v>179</v>
      </c>
      <c r="BI20">
        <v>50</v>
      </c>
      <c r="BJ20">
        <v>12.084735175349207</v>
      </c>
    </row>
    <row r="21" spans="1:62" ht="15" x14ac:dyDescent="0.25">
      <c r="A21" s="45" t="s">
        <v>50</v>
      </c>
      <c r="B21" s="45"/>
      <c r="C21" t="s">
        <v>48</v>
      </c>
      <c r="D21" s="10">
        <v>8.9999999999999993E-3</v>
      </c>
      <c r="E21" s="3">
        <v>15</v>
      </c>
      <c r="F21" s="3">
        <v>16</v>
      </c>
      <c r="G21" s="3">
        <v>8</v>
      </c>
      <c r="H21" s="3"/>
      <c r="I21">
        <v>12</v>
      </c>
      <c r="J21" s="8">
        <f>((M21*(D21/I21)*24)/1000)/D21</f>
        <v>0.75199999999999989</v>
      </c>
      <c r="K21" s="1"/>
      <c r="L21">
        <v>177</v>
      </c>
      <c r="M21">
        <v>376</v>
      </c>
      <c r="O21">
        <v>40</v>
      </c>
      <c r="Q21" s="3" t="s">
        <v>48</v>
      </c>
      <c r="R21" s="3"/>
      <c r="S21">
        <v>48</v>
      </c>
      <c r="U21" s="3" t="s">
        <v>48</v>
      </c>
      <c r="V21" s="3"/>
      <c r="W21" s="3"/>
      <c r="X21" s="1"/>
      <c r="Y21" s="1"/>
      <c r="Z21" s="7" t="s">
        <v>48</v>
      </c>
      <c r="AA21" s="3" t="s">
        <v>48</v>
      </c>
      <c r="AB21" s="7" t="s">
        <v>48</v>
      </c>
      <c r="AC21" s="3" t="s">
        <v>48</v>
      </c>
      <c r="AD21" s="7" t="s">
        <v>48</v>
      </c>
      <c r="AE21" s="1"/>
      <c r="AF21" s="3" t="s">
        <v>48</v>
      </c>
      <c r="AG21" s="3" t="s">
        <v>48</v>
      </c>
      <c r="AH21" s="3" t="s">
        <v>48</v>
      </c>
      <c r="AI21" s="7" t="s">
        <v>48</v>
      </c>
      <c r="AJ21" s="1"/>
      <c r="AK21" s="44"/>
      <c r="AO21">
        <v>9</v>
      </c>
      <c r="AP21">
        <v>2</v>
      </c>
      <c r="AQ21">
        <v>1</v>
      </c>
      <c r="AS21">
        <f t="shared" si="8"/>
        <v>15.249237972318797</v>
      </c>
      <c r="AU21">
        <f t="shared" si="9"/>
        <v>12.084735175349207</v>
      </c>
      <c r="BG21">
        <v>177</v>
      </c>
      <c r="BI21">
        <v>40</v>
      </c>
      <c r="BJ21">
        <v>12.084735175349207</v>
      </c>
    </row>
    <row r="22" spans="1:62" ht="15" x14ac:dyDescent="0.25">
      <c r="A22" s="45" t="s">
        <v>137</v>
      </c>
      <c r="B22" s="45"/>
      <c r="C22" t="s">
        <v>48</v>
      </c>
      <c r="D22" s="10">
        <v>8.9999999999999993E-3</v>
      </c>
      <c r="E22" s="3">
        <v>15</v>
      </c>
      <c r="F22" s="3">
        <v>10</v>
      </c>
      <c r="G22" s="3">
        <f>G21+4</f>
        <v>12</v>
      </c>
      <c r="H22" s="3"/>
      <c r="I22">
        <v>48</v>
      </c>
      <c r="J22" s="8">
        <f>((M22*(D22/I22)*24)/1000)/D22</f>
        <v>0.18749999999999997</v>
      </c>
      <c r="K22" s="1"/>
      <c r="L22">
        <v>177</v>
      </c>
      <c r="M22">
        <v>375</v>
      </c>
      <c r="O22">
        <v>62</v>
      </c>
      <c r="Q22" s="3" t="s">
        <v>48</v>
      </c>
      <c r="R22" s="3"/>
      <c r="S22">
        <v>60</v>
      </c>
      <c r="U22" s="3" t="s">
        <v>48</v>
      </c>
      <c r="V22" s="3"/>
      <c r="W22" s="3"/>
      <c r="X22" s="1"/>
      <c r="Y22" s="1"/>
      <c r="Z22" s="7" t="s">
        <v>48</v>
      </c>
      <c r="AA22" s="3" t="s">
        <v>48</v>
      </c>
      <c r="AB22" s="7" t="s">
        <v>48</v>
      </c>
      <c r="AC22" s="3" t="s">
        <v>48</v>
      </c>
      <c r="AD22" s="7" t="s">
        <v>48</v>
      </c>
      <c r="AE22" s="1"/>
      <c r="AF22" s="3" t="s">
        <v>48</v>
      </c>
      <c r="AG22" s="3" t="s">
        <v>48</v>
      </c>
      <c r="AH22" s="3" t="s">
        <v>48</v>
      </c>
      <c r="AI22" s="7" t="s">
        <v>48</v>
      </c>
      <c r="AJ22" s="1"/>
      <c r="AK22" s="44"/>
      <c r="AO22">
        <v>13</v>
      </c>
      <c r="AP22">
        <v>2</v>
      </c>
      <c r="AQ22">
        <v>1</v>
      </c>
      <c r="AS22">
        <f t="shared" si="8"/>
        <v>20.794415416798358</v>
      </c>
      <c r="AU22">
        <f t="shared" si="9"/>
        <v>16.479184330021646</v>
      </c>
      <c r="BG22">
        <v>177</v>
      </c>
      <c r="BI22">
        <v>62</v>
      </c>
      <c r="BJ22">
        <v>16.479184330021646</v>
      </c>
    </row>
    <row r="23" spans="1:62" ht="15" x14ac:dyDescent="0.25">
      <c r="A23" s="45" t="s">
        <v>137</v>
      </c>
      <c r="B23" s="45"/>
      <c r="C23" t="s">
        <v>48</v>
      </c>
      <c r="D23" s="10">
        <v>8.9999999999999993E-3</v>
      </c>
      <c r="E23" s="3">
        <v>15</v>
      </c>
      <c r="F23" s="3">
        <v>10</v>
      </c>
      <c r="G23" s="3">
        <v>12</v>
      </c>
      <c r="H23" s="3"/>
      <c r="I23">
        <v>24</v>
      </c>
      <c r="J23" s="8">
        <f>((M23*(D23/I23)*24)/1000)/D23</f>
        <v>0.378</v>
      </c>
      <c r="K23" s="1"/>
      <c r="L23">
        <v>177</v>
      </c>
      <c r="M23">
        <v>378</v>
      </c>
      <c r="O23">
        <v>56</v>
      </c>
      <c r="Q23" s="3" t="s">
        <v>48</v>
      </c>
      <c r="R23" s="3"/>
      <c r="S23">
        <v>56</v>
      </c>
      <c r="U23" s="3" t="s">
        <v>48</v>
      </c>
      <c r="V23" s="3"/>
      <c r="W23" s="3"/>
      <c r="X23" s="1"/>
      <c r="Y23" s="1"/>
      <c r="Z23" s="7" t="s">
        <v>48</v>
      </c>
      <c r="AA23" s="3" t="s">
        <v>48</v>
      </c>
      <c r="AB23" s="7" t="s">
        <v>48</v>
      </c>
      <c r="AC23" s="3" t="s">
        <v>48</v>
      </c>
      <c r="AD23" s="7" t="s">
        <v>48</v>
      </c>
      <c r="AE23" s="1"/>
      <c r="AF23" s="3" t="s">
        <v>48</v>
      </c>
      <c r="AG23" s="3" t="s">
        <v>48</v>
      </c>
      <c r="AH23" s="3" t="s">
        <v>48</v>
      </c>
      <c r="AI23" s="7" t="s">
        <v>48</v>
      </c>
      <c r="AJ23" s="1"/>
      <c r="AK23" s="44"/>
      <c r="AO23">
        <v>13</v>
      </c>
      <c r="AP23">
        <v>2</v>
      </c>
      <c r="AQ23">
        <v>1</v>
      </c>
      <c r="AS23">
        <f t="shared" si="8"/>
        <v>20.794415416798358</v>
      </c>
      <c r="AU23">
        <f t="shared" si="9"/>
        <v>16.479184330021646</v>
      </c>
      <c r="BG23">
        <v>177</v>
      </c>
      <c r="BI23">
        <v>56</v>
      </c>
      <c r="BJ23">
        <v>16.479184330021646</v>
      </c>
    </row>
    <row r="24" spans="1:62" ht="15" x14ac:dyDescent="0.25">
      <c r="A24" s="45" t="s">
        <v>137</v>
      </c>
      <c r="B24" s="45"/>
      <c r="C24" t="s">
        <v>48</v>
      </c>
      <c r="D24" s="10">
        <v>8.9999999999999993E-3</v>
      </c>
      <c r="E24" s="3">
        <v>15</v>
      </c>
      <c r="F24" s="3">
        <v>10</v>
      </c>
      <c r="G24" s="3">
        <v>12</v>
      </c>
      <c r="H24" s="3"/>
      <c r="I24">
        <v>12</v>
      </c>
      <c r="J24" s="8">
        <f>((M24*(D24/I24)*24)/1000)/D24</f>
        <v>0.74999999999999989</v>
      </c>
      <c r="K24" s="1"/>
      <c r="L24">
        <v>178</v>
      </c>
      <c r="M24">
        <v>375</v>
      </c>
      <c r="O24">
        <v>40</v>
      </c>
      <c r="Q24" s="3" t="s">
        <v>48</v>
      </c>
      <c r="R24" s="3"/>
      <c r="S24">
        <v>50</v>
      </c>
      <c r="U24" s="3" t="s">
        <v>48</v>
      </c>
      <c r="V24" s="3"/>
      <c r="W24" s="3"/>
      <c r="X24" s="1"/>
      <c r="Y24" s="1"/>
      <c r="Z24" s="7" t="s">
        <v>48</v>
      </c>
      <c r="AA24" s="3" t="s">
        <v>48</v>
      </c>
      <c r="AB24" s="7" t="s">
        <v>48</v>
      </c>
      <c r="AC24" s="3" t="s">
        <v>48</v>
      </c>
      <c r="AD24" s="7" t="s">
        <v>48</v>
      </c>
      <c r="AE24" s="1"/>
      <c r="AF24" s="3" t="s">
        <v>48</v>
      </c>
      <c r="AG24" s="3" t="s">
        <v>48</v>
      </c>
      <c r="AH24" s="3" t="s">
        <v>48</v>
      </c>
      <c r="AI24" s="7" t="s">
        <v>48</v>
      </c>
      <c r="AJ24" s="1"/>
      <c r="AK24" s="44"/>
      <c r="AO24">
        <v>13</v>
      </c>
      <c r="AP24">
        <v>2</v>
      </c>
      <c r="AQ24">
        <v>1</v>
      </c>
      <c r="AS24">
        <f t="shared" si="8"/>
        <v>20.794415416798358</v>
      </c>
      <c r="AU24">
        <f t="shared" si="9"/>
        <v>16.479184330021646</v>
      </c>
      <c r="BG24">
        <v>178</v>
      </c>
      <c r="BI24">
        <v>40</v>
      </c>
      <c r="BJ24">
        <v>16.479184330021646</v>
      </c>
    </row>
    <row r="25" spans="1:62" ht="15" x14ac:dyDescent="0.25">
      <c r="A25" s="45" t="s">
        <v>50</v>
      </c>
      <c r="B25" s="45"/>
      <c r="C25" t="s">
        <v>138</v>
      </c>
      <c r="D25" s="16">
        <v>0.72</v>
      </c>
      <c r="E25" s="3">
        <v>17.899999999999999</v>
      </c>
      <c r="F25" s="3">
        <v>390</v>
      </c>
      <c r="G25" s="3"/>
      <c r="H25" s="3"/>
      <c r="I25" s="3">
        <f>8*3</f>
        <v>24</v>
      </c>
      <c r="J25" s="8">
        <f>((M25*(D25/I25)*24)/1000)/D25</f>
        <v>0.58099999999999996</v>
      </c>
      <c r="K25" s="1"/>
      <c r="L25" s="6">
        <v>307</v>
      </c>
      <c r="M25" s="6">
        <v>581</v>
      </c>
      <c r="N25" s="6"/>
      <c r="O25" s="7">
        <v>83</v>
      </c>
      <c r="P25" s="7"/>
      <c r="Q25" s="3">
        <v>83</v>
      </c>
      <c r="R25" s="3"/>
      <c r="S25" s="7">
        <v>43</v>
      </c>
      <c r="T25" s="22"/>
      <c r="U25" s="22">
        <v>71</v>
      </c>
      <c r="V25" s="22"/>
      <c r="W25" s="22"/>
      <c r="X25" s="1"/>
      <c r="Y25" s="1"/>
      <c r="Z25" s="7" t="s">
        <v>48</v>
      </c>
      <c r="AA25" s="3" t="s">
        <v>48</v>
      </c>
      <c r="AB25" s="7" t="s">
        <v>48</v>
      </c>
      <c r="AC25" s="3" t="s">
        <v>48</v>
      </c>
      <c r="AD25" s="7" t="s">
        <v>48</v>
      </c>
      <c r="AE25" s="1"/>
      <c r="AF25" s="11" t="s">
        <v>48</v>
      </c>
      <c r="AG25" s="3" t="s">
        <v>48</v>
      </c>
      <c r="AH25" s="3">
        <v>0.18</v>
      </c>
      <c r="AI25" s="3">
        <v>0.31</v>
      </c>
      <c r="AJ25" s="1"/>
      <c r="AK25" s="3" t="s">
        <v>139</v>
      </c>
      <c r="AO25" t="s">
        <v>48</v>
      </c>
      <c r="AP25" t="s">
        <v>48</v>
      </c>
      <c r="AQ25" t="s">
        <v>48</v>
      </c>
      <c r="AR25" t="s">
        <v>48</v>
      </c>
      <c r="AS25" t="s">
        <v>48</v>
      </c>
      <c r="AU25" t="s">
        <v>48</v>
      </c>
      <c r="BG25">
        <v>307</v>
      </c>
      <c r="BI25">
        <v>83</v>
      </c>
      <c r="BJ25" t="s">
        <v>48</v>
      </c>
    </row>
    <row r="26" spans="1:62" ht="15" x14ac:dyDescent="0.25">
      <c r="A26" s="45" t="s">
        <v>140</v>
      </c>
      <c r="B26" s="45"/>
      <c r="C26" t="s">
        <v>138</v>
      </c>
      <c r="D26" s="16">
        <v>0.81</v>
      </c>
      <c r="E26" s="3">
        <v>18.5</v>
      </c>
      <c r="F26" s="3">
        <v>330</v>
      </c>
      <c r="G26" s="3"/>
      <c r="H26" s="3"/>
      <c r="I26" s="3">
        <v>27</v>
      </c>
      <c r="J26" s="8">
        <f>((M26*(D26/I26)*24)/1000)/D26</f>
        <v>0.46044444444444443</v>
      </c>
      <c r="K26" s="1"/>
      <c r="L26" s="6">
        <v>311</v>
      </c>
      <c r="M26" s="6">
        <v>518</v>
      </c>
      <c r="N26" s="6"/>
      <c r="O26" s="7">
        <v>91</v>
      </c>
      <c r="P26" s="7"/>
      <c r="Q26" s="3">
        <v>86</v>
      </c>
      <c r="R26" s="3"/>
      <c r="S26" s="7">
        <v>54</v>
      </c>
      <c r="T26" s="22"/>
      <c r="U26" s="22">
        <v>76</v>
      </c>
      <c r="V26" s="22"/>
      <c r="W26" s="22"/>
      <c r="X26" s="1"/>
      <c r="Y26" s="1"/>
      <c r="Z26" s="7" t="s">
        <v>48</v>
      </c>
      <c r="AA26" s="3" t="s">
        <v>48</v>
      </c>
      <c r="AB26" s="7" t="s">
        <v>48</v>
      </c>
      <c r="AC26" s="3" t="s">
        <v>48</v>
      </c>
      <c r="AD26" s="7" t="s">
        <v>48</v>
      </c>
      <c r="AE26" s="1"/>
      <c r="AF26" s="11" t="s">
        <v>48</v>
      </c>
      <c r="AG26" s="3" t="s">
        <v>48</v>
      </c>
      <c r="AH26" s="3">
        <v>0.22</v>
      </c>
      <c r="AI26" s="3">
        <v>0.4</v>
      </c>
      <c r="AJ26" s="1"/>
      <c r="AK26" s="3" t="s">
        <v>139</v>
      </c>
      <c r="AO26" t="s">
        <v>48</v>
      </c>
      <c r="AP26" t="s">
        <v>48</v>
      </c>
      <c r="AQ26" t="s">
        <v>48</v>
      </c>
      <c r="AR26" t="s">
        <v>48</v>
      </c>
      <c r="AS26" t="s">
        <v>48</v>
      </c>
      <c r="AU26" t="s">
        <v>48</v>
      </c>
      <c r="BG26">
        <v>311</v>
      </c>
      <c r="BI26">
        <v>91</v>
      </c>
      <c r="BJ26" t="s">
        <v>48</v>
      </c>
    </row>
    <row r="27" spans="1:62" ht="15" x14ac:dyDescent="0.25">
      <c r="A27" s="45" t="s">
        <v>50</v>
      </c>
      <c r="B27" s="45"/>
      <c r="C27" t="s">
        <v>138</v>
      </c>
      <c r="D27" s="16">
        <v>0.87</v>
      </c>
      <c r="E27" s="3">
        <f>(21+15)/2</f>
        <v>18</v>
      </c>
      <c r="F27" s="3">
        <v>1357</v>
      </c>
      <c r="G27" s="3"/>
      <c r="H27" s="3"/>
      <c r="I27" s="3">
        <v>12</v>
      </c>
      <c r="J27" s="12" t="s">
        <v>141</v>
      </c>
      <c r="K27" s="1"/>
      <c r="L27" s="6" t="s">
        <v>48</v>
      </c>
      <c r="M27" s="6" t="s">
        <v>142</v>
      </c>
      <c r="N27" s="6"/>
      <c r="O27" s="7" t="s">
        <v>48</v>
      </c>
      <c r="P27" s="7"/>
      <c r="Q27" s="3" t="s">
        <v>48</v>
      </c>
      <c r="R27" s="3"/>
      <c r="S27" s="7">
        <v>43</v>
      </c>
      <c r="T27" s="7"/>
      <c r="U27" s="7"/>
      <c r="V27" s="7"/>
      <c r="W27" s="7"/>
      <c r="X27" s="1"/>
      <c r="Y27" s="1"/>
      <c r="Z27" s="7" t="s">
        <v>48</v>
      </c>
      <c r="AA27" s="3" t="s">
        <v>48</v>
      </c>
      <c r="AB27" s="7" t="s">
        <v>48</v>
      </c>
      <c r="AC27" s="3" t="s">
        <v>48</v>
      </c>
      <c r="AD27" s="7" t="s">
        <v>48</v>
      </c>
      <c r="AE27" s="1"/>
      <c r="AF27" s="3" t="s">
        <v>48</v>
      </c>
      <c r="AG27" s="3" t="s">
        <v>48</v>
      </c>
      <c r="AH27" s="11" t="s">
        <v>48</v>
      </c>
      <c r="AI27" s="3">
        <v>0.31</v>
      </c>
      <c r="AJ27" s="1"/>
      <c r="AK27" s="3" t="s">
        <v>143</v>
      </c>
      <c r="AO27" t="s">
        <v>48</v>
      </c>
      <c r="AP27" t="s">
        <v>48</v>
      </c>
      <c r="AQ27" t="s">
        <v>48</v>
      </c>
      <c r="AR27" t="s">
        <v>48</v>
      </c>
      <c r="AS27" t="s">
        <v>48</v>
      </c>
      <c r="AU27" t="s">
        <v>48</v>
      </c>
    </row>
    <row r="28" spans="1:62" ht="16.5" customHeight="1" x14ac:dyDescent="0.25">
      <c r="A28" s="45" t="s">
        <v>50</v>
      </c>
      <c r="B28" s="45"/>
      <c r="C28" t="s">
        <v>138</v>
      </c>
      <c r="D28" s="16">
        <v>0.87</v>
      </c>
      <c r="E28" s="3">
        <f>(21+15)/2</f>
        <v>18</v>
      </c>
      <c r="F28" s="3">
        <v>383</v>
      </c>
      <c r="G28" s="3"/>
      <c r="H28" s="3"/>
      <c r="I28" s="3">
        <v>24</v>
      </c>
      <c r="J28" s="12" t="s">
        <v>144</v>
      </c>
      <c r="K28" s="1"/>
      <c r="L28" s="6" t="s">
        <v>48</v>
      </c>
      <c r="M28" s="6" t="s">
        <v>142</v>
      </c>
      <c r="N28" s="6"/>
      <c r="O28" s="7" t="s">
        <v>48</v>
      </c>
      <c r="P28" s="7"/>
      <c r="Q28" s="3" t="s">
        <v>48</v>
      </c>
      <c r="R28" s="3"/>
      <c r="S28" s="7">
        <v>72</v>
      </c>
      <c r="T28" s="7"/>
      <c r="U28" s="7"/>
      <c r="V28" s="7"/>
      <c r="W28" s="7"/>
      <c r="X28" s="1"/>
      <c r="Y28" s="1"/>
      <c r="Z28" s="7" t="s">
        <v>48</v>
      </c>
      <c r="AA28" s="3" t="s">
        <v>48</v>
      </c>
      <c r="AB28" s="7" t="s">
        <v>48</v>
      </c>
      <c r="AC28" s="3" t="s">
        <v>48</v>
      </c>
      <c r="AD28" s="7" t="s">
        <v>48</v>
      </c>
      <c r="AE28" s="1"/>
      <c r="AF28" s="3" t="s">
        <v>48</v>
      </c>
      <c r="AG28" s="3" t="s">
        <v>48</v>
      </c>
      <c r="AH28" s="11" t="s">
        <v>48</v>
      </c>
      <c r="AI28" s="3">
        <v>0.34</v>
      </c>
      <c r="AJ28" s="1"/>
      <c r="AK28" s="3" t="s">
        <v>143</v>
      </c>
      <c r="AO28" t="s">
        <v>48</v>
      </c>
      <c r="AP28" t="s">
        <v>48</v>
      </c>
      <c r="AQ28" t="s">
        <v>48</v>
      </c>
      <c r="AR28" t="s">
        <v>48</v>
      </c>
      <c r="AS28" t="s">
        <v>48</v>
      </c>
      <c r="AU28" t="s">
        <v>48</v>
      </c>
    </row>
    <row r="29" spans="1:62" ht="16.5" customHeight="1" x14ac:dyDescent="0.25">
      <c r="A29" s="45" t="s">
        <v>50</v>
      </c>
      <c r="B29" s="45"/>
      <c r="C29" t="s">
        <v>48</v>
      </c>
      <c r="D29" s="10">
        <v>2.4E-2</v>
      </c>
      <c r="E29" s="3">
        <v>16</v>
      </c>
      <c r="F29" s="3">
        <v>30</v>
      </c>
      <c r="G29" s="3">
        <v>5</v>
      </c>
      <c r="H29" s="10">
        <f>(D29/I29)/((D29*3/4*7/8)/0.3)</f>
        <v>1.2698412698412697E-2</v>
      </c>
      <c r="I29" s="3">
        <v>36</v>
      </c>
      <c r="J29" s="12">
        <v>0.21199999999999999</v>
      </c>
      <c r="K29" s="1"/>
      <c r="L29" s="6" t="s">
        <v>48</v>
      </c>
      <c r="M29" s="6">
        <v>268</v>
      </c>
      <c r="N29" s="6"/>
      <c r="O29" s="7" t="s">
        <v>48</v>
      </c>
      <c r="P29" s="7"/>
      <c r="Q29" s="3" t="s">
        <v>48</v>
      </c>
      <c r="R29" s="3">
        <v>123</v>
      </c>
      <c r="S29" s="7">
        <v>54.104477611940297</v>
      </c>
      <c r="T29" s="51">
        <f>R29-V29</f>
        <v>-4</v>
      </c>
      <c r="U29" s="51">
        <v>103.73831775700934</v>
      </c>
      <c r="V29" s="51">
        <v>127</v>
      </c>
      <c r="W29" s="51">
        <v>19</v>
      </c>
      <c r="X29" s="1"/>
      <c r="Y29" s="1"/>
      <c r="Z29" s="7" t="s">
        <v>48</v>
      </c>
      <c r="AA29" s="3" t="s">
        <v>48</v>
      </c>
      <c r="AB29" s="7" t="s">
        <v>48</v>
      </c>
      <c r="AC29" s="3" t="s">
        <v>48</v>
      </c>
      <c r="AD29" s="7" t="s">
        <v>48</v>
      </c>
      <c r="AE29" s="1"/>
      <c r="AF29" s="3" t="s">
        <v>48</v>
      </c>
      <c r="AG29" s="3" t="s">
        <v>48</v>
      </c>
      <c r="AH29" s="3" t="s">
        <v>48</v>
      </c>
      <c r="AI29" s="3" t="s">
        <v>48</v>
      </c>
      <c r="AJ29" s="1"/>
      <c r="AK29" s="44" t="s">
        <v>16</v>
      </c>
      <c r="AO29">
        <v>6</v>
      </c>
      <c r="AP29">
        <v>2</v>
      </c>
      <c r="AQ29">
        <v>1</v>
      </c>
      <c r="AS29">
        <f t="shared" ref="AS29:AS30" si="10">(AP29+AO29)*LN((AP29+2))</f>
        <v>11.090354888959125</v>
      </c>
      <c r="AU29">
        <f t="shared" ref="AU29:AU30" si="11">(AP29+AO29)*LN(AQ29+2)</f>
        <v>8.7888983093448783</v>
      </c>
    </row>
    <row r="30" spans="1:62" ht="16.5" customHeight="1" x14ac:dyDescent="0.25">
      <c r="A30" s="45" t="s">
        <v>50</v>
      </c>
      <c r="B30" s="45"/>
      <c r="C30" t="s">
        <v>48</v>
      </c>
      <c r="D30" s="10">
        <v>2.4E-2</v>
      </c>
      <c r="E30" s="3">
        <v>16</v>
      </c>
      <c r="F30" s="3">
        <v>30</v>
      </c>
      <c r="G30" s="3">
        <v>5</v>
      </c>
      <c r="H30" s="10">
        <f>(D30/I30)/((D30*3/4*7/8)/0.3)</f>
        <v>1.9047619047619046E-2</v>
      </c>
      <c r="I30" s="3">
        <v>24</v>
      </c>
      <c r="J30" s="12">
        <v>0.318</v>
      </c>
      <c r="K30" s="1"/>
      <c r="L30" s="6" t="s">
        <v>48</v>
      </c>
      <c r="M30" s="6">
        <v>246</v>
      </c>
      <c r="N30" s="6"/>
      <c r="O30" s="7" t="s">
        <v>48</v>
      </c>
      <c r="P30" s="7"/>
      <c r="Q30" s="3" t="s">
        <v>48</v>
      </c>
      <c r="R30" s="3">
        <v>102</v>
      </c>
      <c r="S30" s="7">
        <v>58.536585365853654</v>
      </c>
      <c r="T30" s="51">
        <f t="shared" ref="T30:T31" si="12">R30-V30</f>
        <v>14</v>
      </c>
      <c r="U30" s="51">
        <v>85.416666666666657</v>
      </c>
      <c r="V30" s="51">
        <v>88</v>
      </c>
      <c r="W30" s="51">
        <v>41</v>
      </c>
      <c r="X30" s="1"/>
      <c r="Y30" s="1"/>
      <c r="Z30" s="7" t="s">
        <v>48</v>
      </c>
      <c r="AA30" s="3" t="s">
        <v>48</v>
      </c>
      <c r="AB30" s="7" t="s">
        <v>48</v>
      </c>
      <c r="AC30" s="3" t="s">
        <v>48</v>
      </c>
      <c r="AD30" s="7" t="s">
        <v>48</v>
      </c>
      <c r="AE30" s="1"/>
      <c r="AF30" s="3" t="s">
        <v>48</v>
      </c>
      <c r="AG30" s="3" t="s">
        <v>48</v>
      </c>
      <c r="AH30" s="3" t="s">
        <v>48</v>
      </c>
      <c r="AI30" s="3" t="s">
        <v>48</v>
      </c>
      <c r="AJ30" s="1"/>
      <c r="AK30" s="44"/>
      <c r="AO30">
        <v>6</v>
      </c>
      <c r="AP30">
        <v>2</v>
      </c>
      <c r="AQ30">
        <v>1</v>
      </c>
      <c r="AS30">
        <f t="shared" si="10"/>
        <v>11.090354888959125</v>
      </c>
      <c r="AU30">
        <f t="shared" si="11"/>
        <v>8.7888983093448783</v>
      </c>
    </row>
    <row r="31" spans="1:62" ht="16.5" customHeight="1" x14ac:dyDescent="0.25">
      <c r="A31" s="45" t="s">
        <v>50</v>
      </c>
      <c r="B31" s="45"/>
      <c r="C31" t="s">
        <v>48</v>
      </c>
      <c r="D31" s="10">
        <v>2.4E-2</v>
      </c>
      <c r="E31" s="3">
        <v>16</v>
      </c>
      <c r="F31" s="3">
        <v>30</v>
      </c>
      <c r="G31" s="3">
        <v>5</v>
      </c>
      <c r="H31" s="10">
        <f>(D31/I31)/((D31*3/4*7/8)/0.3)</f>
        <v>3.8095238095238092E-2</v>
      </c>
      <c r="I31" s="3">
        <v>12</v>
      </c>
      <c r="J31" s="12">
        <v>0.63600000000000001</v>
      </c>
      <c r="K31" s="1"/>
      <c r="L31" s="6" t="s">
        <v>48</v>
      </c>
      <c r="M31" s="6">
        <v>325</v>
      </c>
      <c r="N31" s="6"/>
      <c r="O31" s="7" t="s">
        <v>48</v>
      </c>
      <c r="P31" s="3" t="s">
        <v>48</v>
      </c>
      <c r="Q31" s="3" t="s">
        <v>48</v>
      </c>
      <c r="R31" s="3">
        <v>143</v>
      </c>
      <c r="S31" s="7">
        <v>56.000000000000007</v>
      </c>
      <c r="T31" s="51">
        <f t="shared" si="12"/>
        <v>36</v>
      </c>
      <c r="U31" s="51">
        <v>76.31578947368422</v>
      </c>
      <c r="V31" s="51">
        <v>107</v>
      </c>
      <c r="W31" s="51">
        <v>37</v>
      </c>
      <c r="X31" s="1"/>
      <c r="Y31" s="1"/>
      <c r="Z31" s="7" t="s">
        <v>48</v>
      </c>
      <c r="AA31" s="3" t="s">
        <v>48</v>
      </c>
      <c r="AB31" s="7" t="s">
        <v>48</v>
      </c>
      <c r="AC31" s="3" t="s">
        <v>48</v>
      </c>
      <c r="AD31" s="7" t="s">
        <v>48</v>
      </c>
      <c r="AE31" s="1"/>
      <c r="AF31" s="3" t="s">
        <v>48</v>
      </c>
      <c r="AG31" s="3" t="s">
        <v>48</v>
      </c>
      <c r="AH31" s="3" t="s">
        <v>48</v>
      </c>
      <c r="AI31" s="3" t="s">
        <v>48</v>
      </c>
      <c r="AJ31" s="1"/>
      <c r="AK31" s="44"/>
      <c r="AO31">
        <v>6</v>
      </c>
      <c r="AP31">
        <v>2</v>
      </c>
      <c r="AQ31">
        <v>1</v>
      </c>
      <c r="AS31">
        <f t="shared" ref="AS31" si="13">(AP31+AO31)*LN((AP31+2))</f>
        <v>11.090354888959125</v>
      </c>
      <c r="AU31">
        <f t="shared" ref="AU31" si="14">(AP31+AO31)*LN(AQ31+2)</f>
        <v>8.7888983093448783</v>
      </c>
    </row>
    <row r="32" spans="1:62" ht="17.25" customHeight="1" x14ac:dyDescent="0.25">
      <c r="A32" s="45" t="s">
        <v>149</v>
      </c>
      <c r="B32" s="45"/>
      <c r="C32" t="s">
        <v>48</v>
      </c>
      <c r="D32" s="10">
        <v>0.376</v>
      </c>
      <c r="E32" s="16">
        <v>10.5</v>
      </c>
      <c r="F32" s="1">
        <v>110</v>
      </c>
      <c r="G32" s="7">
        <v>6</v>
      </c>
      <c r="H32" s="10"/>
      <c r="I32" s="3">
        <v>55.2</v>
      </c>
      <c r="J32" s="8">
        <f>((M32*(D32/I32)*24)/1000)/D32</f>
        <v>0.19608695652173913</v>
      </c>
      <c r="K32" s="1"/>
      <c r="L32" s="6">
        <v>277</v>
      </c>
      <c r="M32" s="6">
        <v>451</v>
      </c>
      <c r="N32" s="6">
        <v>91</v>
      </c>
      <c r="O32" s="9">
        <f>((L32-N32)/L32)*100</f>
        <v>67.148014440433215</v>
      </c>
      <c r="P32" s="3">
        <v>72</v>
      </c>
      <c r="Q32" s="3"/>
      <c r="R32" s="3">
        <v>245</v>
      </c>
      <c r="S32" s="9">
        <f>((M32-R32)/M32)*100</f>
        <v>45.676274944567631</v>
      </c>
      <c r="T32" s="54">
        <v>132</v>
      </c>
      <c r="U32" s="51">
        <f>((364-T32)/364)*100</f>
        <v>63.73626373626373</v>
      </c>
      <c r="V32" s="54">
        <v>114</v>
      </c>
      <c r="W32" s="51">
        <f>((87-V32)/87)*100</f>
        <v>-31.03448275862069</v>
      </c>
      <c r="X32" s="1"/>
      <c r="Y32">
        <v>0.06</v>
      </c>
      <c r="Z32" s="7" t="s">
        <v>48</v>
      </c>
      <c r="AA32" s="3" t="s">
        <v>48</v>
      </c>
      <c r="AB32" s="7" t="s">
        <v>48</v>
      </c>
      <c r="AC32" s="3" t="s">
        <v>48</v>
      </c>
      <c r="AD32">
        <v>8.6999999999999994E-3</v>
      </c>
      <c r="AE32" s="1"/>
      <c r="AF32" s="3">
        <v>5.03</v>
      </c>
      <c r="AG32" s="3" t="s">
        <v>48</v>
      </c>
      <c r="AH32" s="11"/>
      <c r="AI32" s="11"/>
      <c r="AJ32" s="1"/>
      <c r="AK32" s="41" t="s">
        <v>148</v>
      </c>
      <c r="AO32">
        <v>6</v>
      </c>
      <c r="AP32">
        <v>2</v>
      </c>
      <c r="AQ32">
        <v>1</v>
      </c>
      <c r="AS32">
        <f t="shared" ref="AS32:AS37" si="15">(AP32+AO32)*LN((AP32+2))</f>
        <v>11.090354888959125</v>
      </c>
      <c r="AU32">
        <f t="shared" ref="AU32:AU37" si="16">(AP32+AO32)*LN(AQ32+2)</f>
        <v>8.7888983093448783</v>
      </c>
      <c r="BG32">
        <v>277</v>
      </c>
      <c r="BH32">
        <v>91</v>
      </c>
      <c r="BI32">
        <v>67.148014440433215</v>
      </c>
      <c r="BJ32">
        <v>9.8875105980129874</v>
      </c>
    </row>
    <row r="33" spans="1:62" ht="16.5" customHeight="1" x14ac:dyDescent="0.25">
      <c r="A33" s="45" t="s">
        <v>140</v>
      </c>
      <c r="B33" s="45"/>
      <c r="C33" t="s">
        <v>48</v>
      </c>
      <c r="D33" s="10">
        <f>57/1000</f>
        <v>5.7000000000000002E-2</v>
      </c>
      <c r="E33" s="7">
        <v>30</v>
      </c>
      <c r="F33" s="10" t="s">
        <v>48</v>
      </c>
      <c r="G33" s="7">
        <v>2</v>
      </c>
      <c r="H33" s="7"/>
      <c r="I33" s="3">
        <v>24</v>
      </c>
      <c r="J33" s="8">
        <f>((M33*(D33/I33)*24)/1000)/D33</f>
        <v>0.57999999999999996</v>
      </c>
      <c r="K33" s="1"/>
      <c r="L33" s="6">
        <v>303</v>
      </c>
      <c r="M33" s="6">
        <v>580</v>
      </c>
      <c r="N33" s="6">
        <v>30</v>
      </c>
      <c r="O33" s="7">
        <v>90</v>
      </c>
      <c r="P33" s="3" t="s">
        <v>48</v>
      </c>
      <c r="Q33" s="3" t="s">
        <v>48</v>
      </c>
      <c r="R33" s="3">
        <v>70</v>
      </c>
      <c r="S33" s="7">
        <v>90</v>
      </c>
      <c r="T33" s="3" t="s">
        <v>48</v>
      </c>
      <c r="U33" s="3" t="s">
        <v>48</v>
      </c>
      <c r="V33" s="3"/>
      <c r="W33" s="3"/>
      <c r="X33" s="1"/>
      <c r="Y33" s="1"/>
      <c r="Z33" s="7" t="s">
        <v>48</v>
      </c>
      <c r="AA33" s="3" t="s">
        <v>48</v>
      </c>
      <c r="AB33" s="7" t="s">
        <v>48</v>
      </c>
      <c r="AC33" s="3" t="s">
        <v>48</v>
      </c>
      <c r="AD33" s="7" t="s">
        <v>48</v>
      </c>
      <c r="AE33" s="1"/>
      <c r="AF33" s="1"/>
      <c r="AG33" s="3" t="s">
        <v>48</v>
      </c>
      <c r="AH33" s="3" t="s">
        <v>48</v>
      </c>
      <c r="AI33" s="3" t="s">
        <v>48</v>
      </c>
      <c r="AJ33" s="1"/>
      <c r="AK33" s="24" t="s">
        <v>64</v>
      </c>
      <c r="AO33">
        <v>6</v>
      </c>
      <c r="AP33">
        <v>2</v>
      </c>
      <c r="AQ33">
        <v>1</v>
      </c>
      <c r="AS33">
        <f t="shared" si="15"/>
        <v>11.090354888959125</v>
      </c>
      <c r="AU33">
        <f t="shared" si="16"/>
        <v>8.7888983093448783</v>
      </c>
      <c r="BG33">
        <v>303</v>
      </c>
      <c r="BH33">
        <v>30</v>
      </c>
      <c r="BI33">
        <v>90</v>
      </c>
      <c r="BJ33">
        <v>8.7888983093448783</v>
      </c>
    </row>
    <row r="34" spans="1:62" ht="16.5" customHeight="1" x14ac:dyDescent="0.25">
      <c r="A34" s="45" t="s">
        <v>140</v>
      </c>
      <c r="B34" s="45"/>
      <c r="C34" t="s">
        <v>48</v>
      </c>
      <c r="D34" s="10"/>
      <c r="E34" s="10" t="s">
        <v>154</v>
      </c>
      <c r="F34" s="10">
        <v>315</v>
      </c>
      <c r="G34" s="7">
        <v>4</v>
      </c>
      <c r="H34" s="7"/>
      <c r="I34" s="3">
        <v>20</v>
      </c>
      <c r="J34" s="12"/>
      <c r="K34" s="1"/>
      <c r="L34" s="6" t="s">
        <v>48</v>
      </c>
      <c r="M34" s="6" t="s">
        <v>48</v>
      </c>
      <c r="N34" s="6" t="s">
        <v>48</v>
      </c>
      <c r="O34" s="7">
        <v>89</v>
      </c>
      <c r="P34" s="6" t="s">
        <v>48</v>
      </c>
      <c r="Q34" s="6" t="s">
        <v>48</v>
      </c>
      <c r="R34" s="6" t="s">
        <v>48</v>
      </c>
      <c r="S34" s="7">
        <v>84</v>
      </c>
      <c r="T34" s="3" t="s">
        <v>48</v>
      </c>
      <c r="U34" s="3" t="s">
        <v>48</v>
      </c>
      <c r="V34" s="3"/>
      <c r="W34" s="3"/>
      <c r="X34" s="1"/>
      <c r="Y34" s="1"/>
      <c r="Z34" s="7" t="s">
        <v>48</v>
      </c>
      <c r="AA34" s="3" t="s">
        <v>48</v>
      </c>
      <c r="AB34" s="7" t="s">
        <v>48</v>
      </c>
      <c r="AC34" s="3" t="s">
        <v>48</v>
      </c>
      <c r="AD34" s="7" t="s">
        <v>48</v>
      </c>
      <c r="AE34" s="1"/>
      <c r="AF34" s="1"/>
      <c r="AG34" s="3" t="s">
        <v>48</v>
      </c>
      <c r="AH34" s="3" t="s">
        <v>48</v>
      </c>
      <c r="AI34" s="3" t="s">
        <v>48</v>
      </c>
      <c r="AJ34" s="1"/>
      <c r="AK34" s="24" t="s">
        <v>68</v>
      </c>
      <c r="AO34">
        <v>7</v>
      </c>
      <c r="AP34">
        <v>2</v>
      </c>
      <c r="AQ34">
        <v>1</v>
      </c>
      <c r="AS34">
        <f t="shared" si="15"/>
        <v>12.476649250079015</v>
      </c>
      <c r="AU34">
        <f t="shared" si="16"/>
        <v>9.8875105980129874</v>
      </c>
      <c r="BG34" t="s">
        <v>48</v>
      </c>
      <c r="BH34" t="s">
        <v>48</v>
      </c>
      <c r="BI34">
        <v>89</v>
      </c>
      <c r="BJ34">
        <v>9.8875105980129874</v>
      </c>
    </row>
    <row r="35" spans="1:62" ht="16.5" customHeight="1" x14ac:dyDescent="0.25">
      <c r="A35" s="45" t="s">
        <v>140</v>
      </c>
      <c r="B35" s="45"/>
      <c r="D35" s="10">
        <f>24/1000</f>
        <v>2.4E-2</v>
      </c>
      <c r="E35" s="25" t="s">
        <v>159</v>
      </c>
      <c r="F35" s="7">
        <v>250</v>
      </c>
      <c r="G35" s="7">
        <v>1</v>
      </c>
      <c r="H35" s="7"/>
      <c r="I35" s="3">
        <v>24</v>
      </c>
      <c r="J35" s="8">
        <f>((M35*(D35/I35)*24)/1000)/D35</f>
        <v>0.41100000000000003</v>
      </c>
      <c r="K35" s="1"/>
      <c r="L35" s="6">
        <v>242</v>
      </c>
      <c r="M35" s="6">
        <v>411</v>
      </c>
      <c r="N35" s="6">
        <v>19.600000000000001</v>
      </c>
      <c r="O35" s="7">
        <v>91.2</v>
      </c>
      <c r="P35" s="7" t="s">
        <v>48</v>
      </c>
      <c r="Q35" s="3" t="s">
        <v>48</v>
      </c>
      <c r="R35" s="3">
        <v>44.1</v>
      </c>
      <c r="S35" s="7">
        <v>88.6</v>
      </c>
      <c r="T35" s="7" t="s">
        <v>48</v>
      </c>
      <c r="U35" s="7" t="s">
        <v>48</v>
      </c>
      <c r="V35" s="7"/>
      <c r="W35" s="7"/>
      <c r="X35" s="1"/>
      <c r="Y35" s="1"/>
      <c r="Z35" s="7">
        <f>(1.63/9.02)*1000</f>
        <v>180.70953436807093</v>
      </c>
      <c r="AA35" s="3" t="s">
        <v>48</v>
      </c>
      <c r="AB35" s="7" t="s">
        <v>48</v>
      </c>
      <c r="AC35" s="3" t="s">
        <v>48</v>
      </c>
      <c r="AD35" s="7" t="s">
        <v>48</v>
      </c>
      <c r="AE35" s="1"/>
      <c r="AF35" s="1"/>
      <c r="AG35" s="3">
        <f>0.377+0.21</f>
        <v>0.58699999999999997</v>
      </c>
      <c r="AH35" s="3" t="s">
        <v>48</v>
      </c>
      <c r="AI35" s="3" t="s">
        <v>48</v>
      </c>
      <c r="AJ35" s="1"/>
      <c r="AK35" s="24" t="s">
        <v>58</v>
      </c>
      <c r="AO35">
        <v>6</v>
      </c>
      <c r="AP35">
        <v>3</v>
      </c>
      <c r="AQ35">
        <v>1</v>
      </c>
      <c r="AS35">
        <f t="shared" si="15"/>
        <v>14.484941211906902</v>
      </c>
      <c r="AU35">
        <f t="shared" si="16"/>
        <v>9.8875105980129874</v>
      </c>
      <c r="BG35">
        <v>242</v>
      </c>
      <c r="BH35">
        <v>19.600000000000001</v>
      </c>
      <c r="BI35">
        <v>91.2</v>
      </c>
      <c r="BJ35">
        <v>9.8875105980129874</v>
      </c>
    </row>
    <row r="36" spans="1:62" ht="16.5" customHeight="1" x14ac:dyDescent="0.25">
      <c r="A36" s="45" t="s">
        <v>140</v>
      </c>
      <c r="B36" s="45"/>
      <c r="C36" t="s">
        <v>48</v>
      </c>
      <c r="D36" s="10">
        <f>36.4/1000</f>
        <v>3.6400000000000002E-2</v>
      </c>
      <c r="E36" s="16">
        <v>28.5</v>
      </c>
      <c r="F36" s="7">
        <f>3*30</f>
        <v>90</v>
      </c>
      <c r="G36" s="7">
        <v>13</v>
      </c>
      <c r="H36" s="7"/>
      <c r="I36" s="3">
        <v>30</v>
      </c>
      <c r="J36" s="8">
        <f>((M36*(D36/I36)*24)/1000)/D36</f>
        <v>0.43680000000000008</v>
      </c>
      <c r="K36" s="1"/>
      <c r="L36" s="6">
        <v>325.7</v>
      </c>
      <c r="M36" s="6">
        <v>546</v>
      </c>
      <c r="N36" s="6">
        <v>13.3</v>
      </c>
      <c r="O36" s="7">
        <v>90</v>
      </c>
      <c r="P36" s="7">
        <v>8.3000000000000007</v>
      </c>
      <c r="Q36" s="3">
        <v>90</v>
      </c>
      <c r="R36" s="3">
        <v>45</v>
      </c>
      <c r="S36" s="7">
        <v>91</v>
      </c>
      <c r="T36" s="7" t="s">
        <v>48</v>
      </c>
      <c r="U36" s="7"/>
      <c r="V36" s="7"/>
      <c r="W36" s="7"/>
      <c r="X36" s="3"/>
      <c r="Y36" s="3"/>
      <c r="Z36" s="7" t="s">
        <v>48</v>
      </c>
      <c r="AA36" s="3" t="s">
        <v>48</v>
      </c>
      <c r="AB36" s="7" t="s">
        <v>48</v>
      </c>
      <c r="AC36" s="3" t="s">
        <v>48</v>
      </c>
      <c r="AD36" s="7" t="s">
        <v>48</v>
      </c>
      <c r="AE36" s="1"/>
      <c r="AF36" s="1"/>
      <c r="AG36" s="3" t="s">
        <v>48</v>
      </c>
      <c r="AH36" s="3" t="s">
        <v>48</v>
      </c>
      <c r="AI36" s="3" t="s">
        <v>48</v>
      </c>
      <c r="AJ36" s="1"/>
      <c r="AK36" s="44" t="s">
        <v>161</v>
      </c>
      <c r="AO36">
        <v>16</v>
      </c>
      <c r="AP36">
        <v>3</v>
      </c>
      <c r="AQ36">
        <v>1</v>
      </c>
      <c r="AS36">
        <f t="shared" si="15"/>
        <v>30.579320336247907</v>
      </c>
      <c r="AU36">
        <f t="shared" si="16"/>
        <v>20.873633484694086</v>
      </c>
      <c r="BG36">
        <v>325.7</v>
      </c>
      <c r="BH36">
        <v>13.3</v>
      </c>
      <c r="BI36">
        <v>90</v>
      </c>
      <c r="BJ36">
        <v>20.873633484694086</v>
      </c>
    </row>
    <row r="37" spans="1:62" ht="16.5" customHeight="1" x14ac:dyDescent="0.25">
      <c r="A37" s="45" t="s">
        <v>140</v>
      </c>
      <c r="B37" s="45"/>
      <c r="C37" t="s">
        <v>48</v>
      </c>
      <c r="D37" s="10">
        <f>36.4/1000</f>
        <v>3.6400000000000002E-2</v>
      </c>
      <c r="E37" s="16">
        <v>28.2</v>
      </c>
      <c r="F37" s="7">
        <f>3*30</f>
        <v>90</v>
      </c>
      <c r="G37" s="7">
        <v>13</v>
      </c>
      <c r="H37" s="7"/>
      <c r="I37" s="3">
        <v>30</v>
      </c>
      <c r="J37" s="8">
        <f>((M37*(D37/I37)*24)/1000)/D37</f>
        <v>0.47119999999999995</v>
      </c>
      <c r="K37" s="1"/>
      <c r="L37" s="6">
        <v>498.6</v>
      </c>
      <c r="M37" s="6">
        <v>589</v>
      </c>
      <c r="N37" s="6">
        <v>16.7</v>
      </c>
      <c r="O37" s="7">
        <v>95</v>
      </c>
      <c r="P37" s="7">
        <v>10</v>
      </c>
      <c r="Q37" s="3">
        <v>93</v>
      </c>
      <c r="R37" s="3">
        <v>75</v>
      </c>
      <c r="S37" s="7">
        <v>88</v>
      </c>
      <c r="T37" s="7" t="s">
        <v>48</v>
      </c>
      <c r="U37" s="7"/>
      <c r="V37" s="7"/>
      <c r="W37" s="7"/>
      <c r="X37" s="3"/>
      <c r="Y37" s="3"/>
      <c r="Z37" s="7" t="s">
        <v>48</v>
      </c>
      <c r="AA37" s="3" t="s">
        <v>48</v>
      </c>
      <c r="AB37" s="7" t="s">
        <v>48</v>
      </c>
      <c r="AC37" s="3" t="s">
        <v>48</v>
      </c>
      <c r="AD37" s="7" t="s">
        <v>48</v>
      </c>
      <c r="AE37" s="1"/>
      <c r="AF37" s="1"/>
      <c r="AG37" s="3" t="s">
        <v>48</v>
      </c>
      <c r="AH37" s="3" t="s">
        <v>48</v>
      </c>
      <c r="AI37" s="3" t="s">
        <v>48</v>
      </c>
      <c r="AJ37" s="1"/>
      <c r="AK37" s="44"/>
      <c r="AL37" s="3" t="s">
        <v>178</v>
      </c>
      <c r="AM37" s="3"/>
      <c r="AO37">
        <v>16</v>
      </c>
      <c r="AP37">
        <v>3</v>
      </c>
      <c r="AQ37">
        <v>1</v>
      </c>
      <c r="AS37">
        <f t="shared" si="15"/>
        <v>30.579320336247907</v>
      </c>
      <c r="AU37">
        <f t="shared" si="16"/>
        <v>20.873633484694086</v>
      </c>
      <c r="BG37">
        <v>498.6</v>
      </c>
      <c r="BH37">
        <v>16.7</v>
      </c>
      <c r="BI37">
        <v>95</v>
      </c>
      <c r="BJ37">
        <v>20.873633484694086</v>
      </c>
    </row>
    <row r="38" spans="1:62" ht="16.5" customHeight="1" x14ac:dyDescent="0.25">
      <c r="A38" s="45" t="s">
        <v>50</v>
      </c>
      <c r="B38" s="45"/>
      <c r="C38" t="s">
        <v>48</v>
      </c>
      <c r="D38" s="10">
        <f>15.2/1000</f>
        <v>1.52E-2</v>
      </c>
      <c r="E38" s="25" t="s">
        <v>169</v>
      </c>
      <c r="F38" s="7">
        <v>65</v>
      </c>
      <c r="G38" s="7">
        <v>10</v>
      </c>
      <c r="H38" s="7" t="s">
        <v>48</v>
      </c>
      <c r="I38" s="3">
        <v>10</v>
      </c>
      <c r="J38" s="8">
        <f>((M38*(D38/I38)*24)/1000)/D38</f>
        <v>1.0656000000000001</v>
      </c>
      <c r="K38" s="1"/>
      <c r="L38" s="3" t="s">
        <v>48</v>
      </c>
      <c r="M38" s="6">
        <v>444</v>
      </c>
      <c r="N38" s="3" t="s">
        <v>48</v>
      </c>
      <c r="O38" s="3" t="s">
        <v>48</v>
      </c>
      <c r="P38" s="3" t="s">
        <v>48</v>
      </c>
      <c r="Q38" s="3" t="s">
        <v>48</v>
      </c>
      <c r="R38" s="3">
        <v>323</v>
      </c>
      <c r="S38" s="7">
        <f>((M38-R38)/M38)*100</f>
        <v>27.252252252252251</v>
      </c>
      <c r="T38" s="3" t="s">
        <v>48</v>
      </c>
      <c r="U38" s="3" t="s">
        <v>48</v>
      </c>
      <c r="V38" s="3"/>
      <c r="W38" s="3"/>
      <c r="X38" s="3"/>
      <c r="Y38" s="3"/>
      <c r="Z38" s="7" t="s">
        <v>48</v>
      </c>
      <c r="AA38" s="3" t="s">
        <v>48</v>
      </c>
      <c r="AB38" s="7" t="s">
        <v>48</v>
      </c>
      <c r="AC38" s="3" t="s">
        <v>48</v>
      </c>
      <c r="AD38" s="7" t="s">
        <v>48</v>
      </c>
      <c r="AE38" s="1"/>
      <c r="AF38" s="1"/>
      <c r="AG38" s="3" t="s">
        <v>48</v>
      </c>
      <c r="AH38" s="3" t="s">
        <v>48</v>
      </c>
      <c r="AI38" s="3" t="s">
        <v>48</v>
      </c>
      <c r="AJ38" s="1"/>
      <c r="AK38" s="44" t="s">
        <v>170</v>
      </c>
      <c r="AO38" t="s">
        <v>48</v>
      </c>
      <c r="AP38" t="s">
        <v>48</v>
      </c>
      <c r="AQ38" t="s">
        <v>48</v>
      </c>
      <c r="AR38" t="s">
        <v>48</v>
      </c>
      <c r="AS38" t="s">
        <v>48</v>
      </c>
      <c r="AU38" t="s">
        <v>48</v>
      </c>
    </row>
    <row r="39" spans="1:62" ht="16.5" customHeight="1" x14ac:dyDescent="0.25">
      <c r="A39" s="45" t="s">
        <v>50</v>
      </c>
      <c r="B39" s="45"/>
      <c r="C39" t="s">
        <v>48</v>
      </c>
      <c r="D39" s="10">
        <f>15.2/1000</f>
        <v>1.52E-2</v>
      </c>
      <c r="E39" s="25" t="s">
        <v>169</v>
      </c>
      <c r="F39" s="7">
        <f>130-F38</f>
        <v>65</v>
      </c>
      <c r="G39" s="7">
        <v>10</v>
      </c>
      <c r="H39" s="7" t="s">
        <v>48</v>
      </c>
      <c r="I39" s="3">
        <v>10</v>
      </c>
      <c r="J39" s="8">
        <f>((M39*(D39/I39)*24)/1000)/D39</f>
        <v>0.84720000000000006</v>
      </c>
      <c r="K39" s="1"/>
      <c r="L39" s="3" t="s">
        <v>48</v>
      </c>
      <c r="M39" s="6">
        <v>353</v>
      </c>
      <c r="N39" s="3" t="s">
        <v>48</v>
      </c>
      <c r="O39" s="3" t="s">
        <v>48</v>
      </c>
      <c r="P39" s="3" t="s">
        <v>48</v>
      </c>
      <c r="Q39" s="3" t="s">
        <v>48</v>
      </c>
      <c r="R39" s="3">
        <v>165</v>
      </c>
      <c r="S39" s="7">
        <f>((M39-R39)/M39)*100</f>
        <v>53.257790368271948</v>
      </c>
      <c r="T39" s="3" t="s">
        <v>48</v>
      </c>
      <c r="U39" s="3" t="s">
        <v>48</v>
      </c>
      <c r="V39" s="3"/>
      <c r="W39" s="3"/>
      <c r="X39" s="3"/>
      <c r="Y39" s="3"/>
      <c r="Z39" s="7" t="s">
        <v>48</v>
      </c>
      <c r="AA39" s="3" t="s">
        <v>48</v>
      </c>
      <c r="AB39" s="7" t="s">
        <v>48</v>
      </c>
      <c r="AC39" s="3" t="s">
        <v>48</v>
      </c>
      <c r="AD39" s="7" t="s">
        <v>48</v>
      </c>
      <c r="AE39" s="1"/>
      <c r="AF39" s="1"/>
      <c r="AG39" s="3" t="s">
        <v>48</v>
      </c>
      <c r="AH39" s="3" t="s">
        <v>48</v>
      </c>
      <c r="AI39" s="3" t="s">
        <v>48</v>
      </c>
      <c r="AJ39" s="1"/>
      <c r="AK39" s="44"/>
      <c r="AO39" t="s">
        <v>48</v>
      </c>
      <c r="AP39" t="s">
        <v>48</v>
      </c>
      <c r="AQ39" t="s">
        <v>48</v>
      </c>
      <c r="AR39" t="s">
        <v>48</v>
      </c>
      <c r="AS39" t="s">
        <v>48</v>
      </c>
      <c r="AU39" t="s">
        <v>48</v>
      </c>
    </row>
    <row r="40" spans="1:62" ht="16.5" customHeight="1" x14ac:dyDescent="0.25">
      <c r="A40" s="45" t="s">
        <v>50</v>
      </c>
      <c r="B40" s="45"/>
      <c r="C40" t="s">
        <v>48</v>
      </c>
      <c r="D40" s="10">
        <f>15.2/1000</f>
        <v>1.52E-2</v>
      </c>
      <c r="E40" s="7">
        <v>30</v>
      </c>
      <c r="F40" s="7">
        <f>220-130</f>
        <v>90</v>
      </c>
      <c r="G40" s="7">
        <v>10</v>
      </c>
      <c r="H40" s="7" t="s">
        <v>48</v>
      </c>
      <c r="I40" s="3">
        <v>10</v>
      </c>
      <c r="J40" s="8" t="s">
        <v>48</v>
      </c>
      <c r="K40" s="1"/>
      <c r="L40" s="3" t="s">
        <v>48</v>
      </c>
      <c r="M40" s="3" t="s">
        <v>48</v>
      </c>
      <c r="N40" s="3" t="s">
        <v>48</v>
      </c>
      <c r="O40" s="3" t="s">
        <v>48</v>
      </c>
      <c r="P40" s="3" t="s">
        <v>48</v>
      </c>
      <c r="Q40" s="3" t="s">
        <v>48</v>
      </c>
      <c r="R40" s="3" t="s">
        <v>48</v>
      </c>
      <c r="S40" s="7">
        <v>66.400000000000006</v>
      </c>
      <c r="T40" s="3" t="s">
        <v>48</v>
      </c>
      <c r="U40" s="3" t="s">
        <v>48</v>
      </c>
      <c r="V40" s="3"/>
      <c r="W40" s="3"/>
      <c r="X40" s="3"/>
      <c r="Y40" s="3"/>
      <c r="Z40" s="7" t="s">
        <v>48</v>
      </c>
      <c r="AA40" s="3" t="s">
        <v>48</v>
      </c>
      <c r="AB40" s="7" t="s">
        <v>48</v>
      </c>
      <c r="AC40" s="3" t="s">
        <v>48</v>
      </c>
      <c r="AD40" s="7" t="s">
        <v>48</v>
      </c>
      <c r="AE40" s="1"/>
      <c r="AF40" s="1"/>
      <c r="AG40" s="3" t="s">
        <v>48</v>
      </c>
      <c r="AH40" s="3" t="s">
        <v>48</v>
      </c>
      <c r="AI40" s="3" t="s">
        <v>48</v>
      </c>
      <c r="AJ40" s="1"/>
      <c r="AK40" s="44"/>
      <c r="AO40" t="s">
        <v>48</v>
      </c>
      <c r="AP40" t="s">
        <v>48</v>
      </c>
      <c r="AQ40" t="s">
        <v>48</v>
      </c>
      <c r="AR40" t="s">
        <v>48</v>
      </c>
      <c r="AS40" t="s">
        <v>48</v>
      </c>
      <c r="AU40" t="s">
        <v>48</v>
      </c>
    </row>
    <row r="41" spans="1:62" ht="16.5" customHeight="1" x14ac:dyDescent="0.25">
      <c r="A41" s="45" t="s">
        <v>50</v>
      </c>
      <c r="B41" s="45"/>
      <c r="C41" t="s">
        <v>48</v>
      </c>
      <c r="D41" s="10">
        <v>0.1</v>
      </c>
      <c r="E41" s="29">
        <v>13.5</v>
      </c>
      <c r="F41" s="7">
        <f>2*30</f>
        <v>60</v>
      </c>
      <c r="G41" s="7">
        <v>17</v>
      </c>
      <c r="H41" s="7" t="s">
        <v>48</v>
      </c>
      <c r="I41" s="3">
        <v>17.8</v>
      </c>
      <c r="J41" s="8">
        <v>0.38</v>
      </c>
      <c r="K41" s="1"/>
      <c r="L41" s="6">
        <v>279</v>
      </c>
      <c r="M41" s="6">
        <v>187</v>
      </c>
      <c r="N41" s="3" t="s">
        <v>48</v>
      </c>
      <c r="O41" s="3" t="s">
        <v>48</v>
      </c>
      <c r="P41" s="3" t="s">
        <v>48</v>
      </c>
      <c r="Q41" s="3" t="s">
        <v>48</v>
      </c>
      <c r="R41" s="3" t="s">
        <v>48</v>
      </c>
      <c r="S41" s="7">
        <v>84</v>
      </c>
      <c r="T41" s="3" t="s">
        <v>48</v>
      </c>
      <c r="U41" s="3" t="s">
        <v>48</v>
      </c>
      <c r="V41" s="3"/>
      <c r="W41" s="3"/>
      <c r="X41" s="3"/>
      <c r="Y41" s="3"/>
      <c r="Z41" s="7" t="s">
        <v>48</v>
      </c>
      <c r="AA41" s="3" t="s">
        <v>48</v>
      </c>
      <c r="AB41" s="7" t="s">
        <v>48</v>
      </c>
      <c r="AC41" s="3" t="s">
        <v>48</v>
      </c>
      <c r="AD41" s="7" t="s">
        <v>48</v>
      </c>
      <c r="AE41" s="1"/>
      <c r="AF41" s="1"/>
      <c r="AG41" s="3" t="s">
        <v>48</v>
      </c>
      <c r="AH41" s="3" t="s">
        <v>48</v>
      </c>
      <c r="AI41" s="3" t="s">
        <v>48</v>
      </c>
      <c r="AJ41" s="1"/>
      <c r="AK41" s="44" t="s">
        <v>107</v>
      </c>
      <c r="AO41" t="s">
        <v>48</v>
      </c>
      <c r="AP41" t="s">
        <v>48</v>
      </c>
      <c r="AQ41" t="s">
        <v>48</v>
      </c>
      <c r="AR41" t="s">
        <v>48</v>
      </c>
      <c r="AS41" t="s">
        <v>48</v>
      </c>
      <c r="AU41" t="s">
        <v>48</v>
      </c>
    </row>
    <row r="42" spans="1:62" ht="16.5" customHeight="1" x14ac:dyDescent="0.25">
      <c r="A42" s="45" t="s">
        <v>50</v>
      </c>
      <c r="B42" s="45"/>
      <c r="C42" t="s">
        <v>48</v>
      </c>
      <c r="D42" s="10">
        <v>0.1</v>
      </c>
      <c r="E42" s="29">
        <v>19</v>
      </c>
      <c r="F42" s="7">
        <f>4*30</f>
        <v>120</v>
      </c>
      <c r="G42" s="7">
        <v>17</v>
      </c>
      <c r="H42" s="7" t="s">
        <v>48</v>
      </c>
      <c r="I42" s="3">
        <v>12.8</v>
      </c>
      <c r="J42" s="8">
        <f>((M42*(D42/I42)*24)/1000)/D42</f>
        <v>0.35062500000000002</v>
      </c>
      <c r="K42" s="1"/>
      <c r="L42" s="6">
        <v>279</v>
      </c>
      <c r="M42" s="6">
        <v>187</v>
      </c>
      <c r="N42" s="3" t="s">
        <v>48</v>
      </c>
      <c r="O42" s="3" t="s">
        <v>48</v>
      </c>
      <c r="P42" s="3" t="s">
        <v>48</v>
      </c>
      <c r="Q42" s="3" t="s">
        <v>48</v>
      </c>
      <c r="R42" s="3" t="s">
        <v>48</v>
      </c>
      <c r="S42" s="7">
        <v>67</v>
      </c>
      <c r="T42" s="3" t="s">
        <v>48</v>
      </c>
      <c r="U42" s="3" t="s">
        <v>48</v>
      </c>
      <c r="V42" s="3"/>
      <c r="W42" s="3"/>
      <c r="X42" s="3"/>
      <c r="Y42" s="3"/>
      <c r="Z42" s="7" t="s">
        <v>48</v>
      </c>
      <c r="AA42" s="3" t="s">
        <v>48</v>
      </c>
      <c r="AB42" s="7" t="s">
        <v>48</v>
      </c>
      <c r="AC42" s="3" t="s">
        <v>48</v>
      </c>
      <c r="AD42" s="7" t="s">
        <v>48</v>
      </c>
      <c r="AE42" s="1"/>
      <c r="AF42" s="1"/>
      <c r="AG42" s="3" t="s">
        <v>48</v>
      </c>
      <c r="AH42" s="3" t="s">
        <v>48</v>
      </c>
      <c r="AI42" s="3" t="s">
        <v>48</v>
      </c>
      <c r="AJ42" s="1"/>
      <c r="AK42" s="44"/>
      <c r="AO42" t="s">
        <v>48</v>
      </c>
      <c r="AP42" t="s">
        <v>48</v>
      </c>
      <c r="AQ42" t="s">
        <v>48</v>
      </c>
      <c r="AR42" t="s">
        <v>48</v>
      </c>
      <c r="AS42" t="s">
        <v>48</v>
      </c>
      <c r="AU42" t="s">
        <v>48</v>
      </c>
    </row>
    <row r="43" spans="1:62" ht="16.5" customHeight="1" x14ac:dyDescent="0.25">
      <c r="A43" s="45" t="s">
        <v>50</v>
      </c>
      <c r="B43" s="45"/>
      <c r="C43" t="s">
        <v>48</v>
      </c>
      <c r="D43" s="10">
        <v>0.1</v>
      </c>
      <c r="E43" s="29">
        <v>24</v>
      </c>
      <c r="F43" s="7">
        <f>4*30</f>
        <v>120</v>
      </c>
      <c r="G43" s="7">
        <v>17</v>
      </c>
      <c r="H43" s="7" t="s">
        <v>48</v>
      </c>
      <c r="I43" s="3">
        <v>11.1</v>
      </c>
      <c r="J43" s="8">
        <f>((M43*(D43/I43)*24)/1000)/D43</f>
        <v>0.40432432432432425</v>
      </c>
      <c r="K43" s="1"/>
      <c r="L43" s="6">
        <v>279</v>
      </c>
      <c r="M43" s="6">
        <v>187</v>
      </c>
      <c r="N43" s="3" t="s">
        <v>48</v>
      </c>
      <c r="O43" s="3" t="s">
        <v>48</v>
      </c>
      <c r="P43" s="3" t="s">
        <v>48</v>
      </c>
      <c r="Q43" s="3" t="s">
        <v>48</v>
      </c>
      <c r="R43" s="3" t="s">
        <v>48</v>
      </c>
      <c r="S43" s="7">
        <v>72</v>
      </c>
      <c r="T43" s="3" t="s">
        <v>48</v>
      </c>
      <c r="U43" s="3" t="s">
        <v>48</v>
      </c>
      <c r="V43" s="3"/>
      <c r="W43" s="3"/>
      <c r="X43" s="3"/>
      <c r="Y43" s="3"/>
      <c r="Z43" s="7" t="s">
        <v>48</v>
      </c>
      <c r="AA43" s="3" t="s">
        <v>48</v>
      </c>
      <c r="AB43" s="7" t="s">
        <v>48</v>
      </c>
      <c r="AC43" s="3" t="s">
        <v>48</v>
      </c>
      <c r="AD43" s="7" t="s">
        <v>48</v>
      </c>
      <c r="AE43" s="1"/>
      <c r="AF43" s="1"/>
      <c r="AG43" s="3" t="s">
        <v>48</v>
      </c>
      <c r="AH43" s="3" t="s">
        <v>48</v>
      </c>
      <c r="AI43" s="3" t="s">
        <v>48</v>
      </c>
      <c r="AJ43" s="1"/>
      <c r="AK43" s="44"/>
      <c r="AO43" t="s">
        <v>48</v>
      </c>
      <c r="AP43" t="s">
        <v>48</v>
      </c>
      <c r="AQ43" t="s">
        <v>48</v>
      </c>
      <c r="AR43" t="s">
        <v>48</v>
      </c>
      <c r="AS43" t="s">
        <v>48</v>
      </c>
      <c r="AU43" t="s">
        <v>48</v>
      </c>
    </row>
    <row r="44" spans="1:62" ht="16.5" customHeight="1" x14ac:dyDescent="0.25">
      <c r="A44" s="45" t="s">
        <v>50</v>
      </c>
      <c r="B44" s="45"/>
      <c r="C44" t="s">
        <v>48</v>
      </c>
      <c r="D44" s="10">
        <v>0.1</v>
      </c>
      <c r="E44" s="29">
        <v>18</v>
      </c>
      <c r="F44" s="7">
        <f>3*30</f>
        <v>90</v>
      </c>
      <c r="G44" s="7">
        <v>17</v>
      </c>
      <c r="H44" s="7" t="s">
        <v>48</v>
      </c>
      <c r="I44" s="3">
        <v>9.5</v>
      </c>
      <c r="J44" s="8">
        <v>0.31</v>
      </c>
      <c r="K44" s="1"/>
      <c r="L44" s="6">
        <v>279</v>
      </c>
      <c r="M44" s="6">
        <v>187</v>
      </c>
      <c r="N44" s="3" t="s">
        <v>48</v>
      </c>
      <c r="O44" s="3" t="s">
        <v>48</v>
      </c>
      <c r="P44" s="3" t="s">
        <v>48</v>
      </c>
      <c r="Q44" s="3" t="s">
        <v>48</v>
      </c>
      <c r="R44" s="3" t="s">
        <v>48</v>
      </c>
      <c r="S44" s="7">
        <v>63</v>
      </c>
      <c r="T44" s="3" t="s">
        <v>48</v>
      </c>
      <c r="U44" s="3" t="s">
        <v>48</v>
      </c>
      <c r="V44" s="3"/>
      <c r="W44" s="3"/>
      <c r="X44" s="3"/>
      <c r="Y44" s="3"/>
      <c r="Z44" s="7" t="s">
        <v>48</v>
      </c>
      <c r="AA44" s="3" t="s">
        <v>48</v>
      </c>
      <c r="AB44" s="7" t="s">
        <v>48</v>
      </c>
      <c r="AC44" s="3" t="s">
        <v>48</v>
      </c>
      <c r="AD44" s="7" t="s">
        <v>48</v>
      </c>
      <c r="AE44" s="1"/>
      <c r="AF44" s="1"/>
      <c r="AG44" s="3" t="s">
        <v>48</v>
      </c>
      <c r="AH44" s="3" t="s">
        <v>48</v>
      </c>
      <c r="AI44" s="3" t="s">
        <v>48</v>
      </c>
      <c r="AJ44" s="1"/>
      <c r="AK44" s="44"/>
      <c r="AO44" t="s">
        <v>48</v>
      </c>
      <c r="AP44" t="s">
        <v>48</v>
      </c>
      <c r="AQ44" t="s">
        <v>48</v>
      </c>
      <c r="AR44" t="s">
        <v>48</v>
      </c>
      <c r="AS44" t="s">
        <v>48</v>
      </c>
      <c r="AU44" t="s">
        <v>48</v>
      </c>
    </row>
    <row r="45" spans="1:62" ht="16.5" customHeight="1" x14ac:dyDescent="0.25">
      <c r="A45" s="45" t="s">
        <v>50</v>
      </c>
      <c r="B45" s="45"/>
      <c r="C45" t="s">
        <v>48</v>
      </c>
      <c r="D45" s="10">
        <v>0.1</v>
      </c>
      <c r="E45" s="29">
        <v>24</v>
      </c>
      <c r="F45" s="7">
        <f>4*30</f>
        <v>120</v>
      </c>
      <c r="G45" s="7">
        <v>17</v>
      </c>
      <c r="H45" s="7" t="s">
        <v>48</v>
      </c>
      <c r="I45" s="3">
        <v>8.5500000000000007</v>
      </c>
      <c r="J45" s="8">
        <v>0.49</v>
      </c>
      <c r="K45" s="1"/>
      <c r="L45" s="6">
        <v>279</v>
      </c>
      <c r="M45" s="6">
        <v>187</v>
      </c>
      <c r="N45" s="3" t="s">
        <v>48</v>
      </c>
      <c r="O45" s="3" t="s">
        <v>48</v>
      </c>
      <c r="P45" s="3" t="s">
        <v>48</v>
      </c>
      <c r="Q45" s="3" t="s">
        <v>48</v>
      </c>
      <c r="R45" s="3" t="s">
        <v>48</v>
      </c>
      <c r="S45" s="7">
        <v>75</v>
      </c>
      <c r="T45" s="3" t="s">
        <v>48</v>
      </c>
      <c r="U45" s="3" t="s">
        <v>48</v>
      </c>
      <c r="V45" s="3"/>
      <c r="W45" s="3"/>
      <c r="X45" s="3"/>
      <c r="Y45" s="3"/>
      <c r="Z45" s="7" t="s">
        <v>48</v>
      </c>
      <c r="AA45" s="3" t="s">
        <v>48</v>
      </c>
      <c r="AB45" s="7" t="s">
        <v>48</v>
      </c>
      <c r="AC45" s="3" t="s">
        <v>48</v>
      </c>
      <c r="AD45" s="7" t="s">
        <v>48</v>
      </c>
      <c r="AE45" s="1"/>
      <c r="AF45" s="1"/>
      <c r="AG45" s="3" t="s">
        <v>48</v>
      </c>
      <c r="AH45" s="3" t="s">
        <v>48</v>
      </c>
      <c r="AI45" s="3" t="s">
        <v>48</v>
      </c>
      <c r="AJ45" s="1"/>
      <c r="AK45" s="44"/>
      <c r="AO45" t="s">
        <v>48</v>
      </c>
      <c r="AP45" t="s">
        <v>48</v>
      </c>
      <c r="AQ45" t="s">
        <v>48</v>
      </c>
      <c r="AR45" t="s">
        <v>48</v>
      </c>
      <c r="AS45" t="s">
        <v>48</v>
      </c>
      <c r="AU45" t="s">
        <v>48</v>
      </c>
    </row>
    <row r="46" spans="1:62" ht="16.5" customHeight="1" x14ac:dyDescent="0.25">
      <c r="A46" s="45" t="s">
        <v>50</v>
      </c>
      <c r="B46" s="45"/>
      <c r="C46" t="s">
        <v>48</v>
      </c>
      <c r="D46" s="10">
        <f>32/1000</f>
        <v>3.2000000000000001E-2</v>
      </c>
      <c r="E46" s="7">
        <v>35</v>
      </c>
      <c r="F46" s="7" t="s">
        <v>48</v>
      </c>
      <c r="G46" s="7">
        <v>17</v>
      </c>
      <c r="H46" s="10">
        <v>0.22</v>
      </c>
      <c r="I46" s="3">
        <v>6</v>
      </c>
      <c r="J46" s="8">
        <v>1.6</v>
      </c>
      <c r="K46" s="1"/>
      <c r="L46" s="6">
        <f>N46/(1-(O46/100))</f>
        <v>285.71428571428567</v>
      </c>
      <c r="M46" s="6">
        <v>400</v>
      </c>
      <c r="N46" s="6">
        <v>40</v>
      </c>
      <c r="O46" s="7">
        <v>86</v>
      </c>
      <c r="P46" s="7" t="s">
        <v>177</v>
      </c>
      <c r="Q46" s="3"/>
      <c r="R46" s="3">
        <v>44</v>
      </c>
      <c r="S46" s="7">
        <v>84</v>
      </c>
      <c r="T46" s="3" t="s">
        <v>48</v>
      </c>
      <c r="U46" s="3" t="s">
        <v>48</v>
      </c>
      <c r="V46" s="3"/>
      <c r="W46" s="3"/>
      <c r="X46" s="3"/>
      <c r="Y46" s="3"/>
      <c r="Z46" s="7" t="s">
        <v>48</v>
      </c>
      <c r="AA46" s="3" t="s">
        <v>48</v>
      </c>
      <c r="AB46" s="7" t="s">
        <v>48</v>
      </c>
      <c r="AC46" s="3" t="s">
        <v>48</v>
      </c>
      <c r="AD46" s="7" t="s">
        <v>48</v>
      </c>
      <c r="AE46" s="1"/>
      <c r="AF46" s="1"/>
      <c r="AG46" s="3" t="s">
        <v>48</v>
      </c>
      <c r="AH46" s="3">
        <v>0.5</v>
      </c>
      <c r="AI46" s="3">
        <v>0.34</v>
      </c>
      <c r="AJ46" s="1"/>
      <c r="AK46" s="24" t="s">
        <v>109</v>
      </c>
      <c r="AO46">
        <v>8</v>
      </c>
      <c r="AP46">
        <v>2</v>
      </c>
      <c r="AQ46">
        <v>1</v>
      </c>
      <c r="AS46">
        <f>(AP46+AO46)*LN((AP46+2))</f>
        <v>13.862943611198906</v>
      </c>
      <c r="AU46">
        <f>(AP46+AO46)*LN(AQ46+2)</f>
        <v>10.986122886681098</v>
      </c>
      <c r="BG46">
        <v>285.71428571428567</v>
      </c>
      <c r="BH46">
        <v>40</v>
      </c>
      <c r="BI46">
        <v>86</v>
      </c>
      <c r="BJ46">
        <v>10.986122886681098</v>
      </c>
    </row>
    <row r="47" spans="1:62" ht="16.5" customHeight="1" x14ac:dyDescent="0.25">
      <c r="A47" s="45" t="s">
        <v>50</v>
      </c>
      <c r="B47" s="45"/>
      <c r="C47" t="s">
        <v>48</v>
      </c>
      <c r="D47" s="10">
        <f>15/1000</f>
        <v>1.4999999999999999E-2</v>
      </c>
      <c r="E47" s="7">
        <v>25.1</v>
      </c>
      <c r="F47" s="7">
        <v>100</v>
      </c>
      <c r="G47" s="7">
        <v>9</v>
      </c>
      <c r="H47" s="7" t="s">
        <v>48</v>
      </c>
      <c r="I47" s="3">
        <v>24</v>
      </c>
      <c r="J47" s="8">
        <v>0.66900000000000004</v>
      </c>
      <c r="K47" s="1"/>
      <c r="L47" s="6">
        <f t="shared" ref="L47:L50" si="17">N47/(1-(O47/100))</f>
        <v>297.22222222222211</v>
      </c>
      <c r="M47" s="6">
        <f>R47/(1-(S47/100))</f>
        <v>586.66666666666652</v>
      </c>
      <c r="N47" s="6">
        <v>53.5</v>
      </c>
      <c r="O47" s="7">
        <v>82</v>
      </c>
      <c r="P47" s="3" t="s">
        <v>48</v>
      </c>
      <c r="Q47" s="3" t="s">
        <v>48</v>
      </c>
      <c r="R47" s="3">
        <v>105.6</v>
      </c>
      <c r="S47" s="7">
        <v>82</v>
      </c>
      <c r="T47" s="51">
        <f>(S47-72.2)</f>
        <v>9.7999999999999972</v>
      </c>
      <c r="U47" s="51">
        <f>((M47-(72.2/(1-0.728)))-T47)/(M47-(72.2/(1-0.728)))*100</f>
        <v>96.949183580039673</v>
      </c>
      <c r="V47" s="51">
        <v>72.2</v>
      </c>
      <c r="W47" s="51">
        <v>72.8</v>
      </c>
      <c r="X47" s="3"/>
      <c r="Y47" s="3"/>
      <c r="Z47" s="7" t="s">
        <v>48</v>
      </c>
      <c r="AA47" s="3" t="s">
        <v>48</v>
      </c>
      <c r="AB47" s="7"/>
      <c r="AC47" t="s">
        <v>171</v>
      </c>
      <c r="AD47">
        <v>2.9600000000000001E-2</v>
      </c>
      <c r="AE47" s="1"/>
      <c r="AF47" s="1"/>
      <c r="AG47" s="3" t="s">
        <v>48</v>
      </c>
      <c r="AH47" s="3" t="s">
        <v>48</v>
      </c>
      <c r="AI47" s="3" t="s">
        <v>48</v>
      </c>
      <c r="AJ47" s="1"/>
      <c r="AK47" s="44" t="s">
        <v>111</v>
      </c>
      <c r="AL47" t="s">
        <v>172</v>
      </c>
      <c r="AO47">
        <v>10</v>
      </c>
      <c r="AP47">
        <v>3</v>
      </c>
      <c r="AQ47">
        <v>1</v>
      </c>
      <c r="AS47">
        <f>(AP47+AO47)*LN((AP47+2))</f>
        <v>20.922692861643302</v>
      </c>
      <c r="AU47">
        <f>(AP47+AO47)*LN(AQ47+2)</f>
        <v>14.281959752685427</v>
      </c>
      <c r="BG47">
        <v>297.22222222222211</v>
      </c>
      <c r="BH47">
        <v>53.5</v>
      </c>
      <c r="BI47">
        <v>82</v>
      </c>
      <c r="BJ47">
        <v>14.281959752685427</v>
      </c>
    </row>
    <row r="48" spans="1:62" ht="16.5" customHeight="1" x14ac:dyDescent="0.25">
      <c r="A48" s="45" t="s">
        <v>50</v>
      </c>
      <c r="B48" s="45"/>
      <c r="C48" t="s">
        <v>48</v>
      </c>
      <c r="D48" s="10">
        <f t="shared" ref="D48:D50" si="18">15/1000</f>
        <v>1.4999999999999999E-2</v>
      </c>
      <c r="E48" s="7">
        <v>23.3</v>
      </c>
      <c r="F48" s="7">
        <v>100</v>
      </c>
      <c r="G48" s="7">
        <v>9</v>
      </c>
      <c r="H48" s="7" t="s">
        <v>48</v>
      </c>
      <c r="I48" s="3">
        <v>18</v>
      </c>
      <c r="J48" s="8">
        <v>0.95799999999999996</v>
      </c>
      <c r="K48" s="1"/>
      <c r="L48" s="6">
        <f t="shared" si="17"/>
        <v>246.76806083650192</v>
      </c>
      <c r="M48" s="6">
        <f t="shared" ref="M48:M50" si="19">R48/(1-(S48/100))</f>
        <v>657.63546798029574</v>
      </c>
      <c r="N48" s="6">
        <v>64.900000000000006</v>
      </c>
      <c r="O48" s="7">
        <v>73.7</v>
      </c>
      <c r="P48" s="3" t="s">
        <v>48</v>
      </c>
      <c r="Q48" s="3" t="s">
        <v>48</v>
      </c>
      <c r="R48" s="3">
        <v>133.5</v>
      </c>
      <c r="S48" s="7">
        <v>79.7</v>
      </c>
      <c r="T48" s="51">
        <f>R48-84.5</f>
        <v>49</v>
      </c>
      <c r="U48" s="51">
        <f>((M48-(84.5/(1-0.793)))-T48)/(M48-(84.5/(1-0.793)))*100</f>
        <v>80.354651273733438</v>
      </c>
      <c r="V48" s="51">
        <v>84.5</v>
      </c>
      <c r="W48" s="51">
        <v>79.3</v>
      </c>
      <c r="X48" s="3"/>
      <c r="Y48" s="3"/>
      <c r="Z48" s="7" t="s">
        <v>48</v>
      </c>
      <c r="AA48" s="3" t="s">
        <v>48</v>
      </c>
      <c r="AB48" s="7"/>
      <c r="AC48" t="s">
        <v>173</v>
      </c>
      <c r="AD48">
        <v>2.1499999999999998E-2</v>
      </c>
      <c r="AE48" s="1"/>
      <c r="AF48" s="1"/>
      <c r="AG48" s="3" t="s">
        <v>48</v>
      </c>
      <c r="AH48" s="3" t="s">
        <v>48</v>
      </c>
      <c r="AI48" s="3" t="s">
        <v>48</v>
      </c>
      <c r="AJ48" s="1"/>
      <c r="AK48" s="44"/>
      <c r="AL48" t="s">
        <v>174</v>
      </c>
      <c r="AO48">
        <v>10</v>
      </c>
      <c r="AP48">
        <v>3</v>
      </c>
      <c r="AQ48">
        <v>1</v>
      </c>
      <c r="AS48">
        <f t="shared" ref="AS48:AS50" si="20">(AP48+AO48)*LN((AP48+2))</f>
        <v>20.922692861643302</v>
      </c>
      <c r="AU48">
        <f t="shared" ref="AU48:AU50" si="21">(AP48+AO48)*LN(AQ48+2)</f>
        <v>14.281959752685427</v>
      </c>
      <c r="BG48">
        <v>246.76806083650192</v>
      </c>
      <c r="BH48">
        <v>64.900000000000006</v>
      </c>
      <c r="BI48">
        <v>73.7</v>
      </c>
      <c r="BJ48">
        <v>14.281959752685427</v>
      </c>
    </row>
    <row r="49" spans="1:62" ht="16.5" customHeight="1" x14ac:dyDescent="0.25">
      <c r="A49" s="45" t="s">
        <v>50</v>
      </c>
      <c r="B49" s="45"/>
      <c r="C49" t="s">
        <v>48</v>
      </c>
      <c r="D49" s="10">
        <f t="shared" si="18"/>
        <v>1.4999999999999999E-2</v>
      </c>
      <c r="E49" s="7">
        <v>23</v>
      </c>
      <c r="F49" s="7">
        <v>100</v>
      </c>
      <c r="G49" s="7">
        <v>9</v>
      </c>
      <c r="H49" s="7" t="s">
        <v>48</v>
      </c>
      <c r="I49" s="3">
        <v>12</v>
      </c>
      <c r="J49" s="8">
        <v>1.3</v>
      </c>
      <c r="K49" s="1"/>
      <c r="L49" s="6">
        <f t="shared" si="17"/>
        <v>249.83050847457625</v>
      </c>
      <c r="M49" s="6">
        <f t="shared" si="19"/>
        <v>633.19672131147513</v>
      </c>
      <c r="N49" s="6">
        <v>73.7</v>
      </c>
      <c r="O49" s="7">
        <v>70.5</v>
      </c>
      <c r="P49" s="3" t="s">
        <v>48</v>
      </c>
      <c r="Q49" s="3" t="s">
        <v>48</v>
      </c>
      <c r="R49" s="3">
        <v>154.5</v>
      </c>
      <c r="S49" s="7">
        <v>75.599999999999994</v>
      </c>
      <c r="T49" s="51">
        <f>R49-78.8</f>
        <v>75.7</v>
      </c>
      <c r="U49" s="51">
        <f>((M49-(78.8/(1-0.68)))-T49)/(M49-(78.8/(1-0.68)))*100</f>
        <v>80.436583170047115</v>
      </c>
      <c r="V49" s="51">
        <v>78.8</v>
      </c>
      <c r="W49" s="51">
        <v>68</v>
      </c>
      <c r="X49" s="3"/>
      <c r="Y49" s="3"/>
      <c r="Z49" s="7" t="s">
        <v>48</v>
      </c>
      <c r="AA49" s="3" t="s">
        <v>48</v>
      </c>
      <c r="AB49" s="7"/>
      <c r="AC49" t="s">
        <v>175</v>
      </c>
      <c r="AD49">
        <v>1.5800000000000002E-2</v>
      </c>
      <c r="AE49" s="1"/>
      <c r="AF49" s="1"/>
      <c r="AG49" s="3" t="s">
        <v>48</v>
      </c>
      <c r="AH49" s="3" t="s">
        <v>48</v>
      </c>
      <c r="AI49" s="3" t="s">
        <v>48</v>
      </c>
      <c r="AJ49" s="1"/>
      <c r="AK49" s="44"/>
      <c r="AO49">
        <v>10</v>
      </c>
      <c r="AP49">
        <v>3</v>
      </c>
      <c r="AQ49">
        <v>1</v>
      </c>
      <c r="AS49">
        <f t="shared" si="20"/>
        <v>20.922692861643302</v>
      </c>
      <c r="AU49">
        <f t="shared" si="21"/>
        <v>14.281959752685427</v>
      </c>
      <c r="BG49">
        <v>249.83050847457625</v>
      </c>
      <c r="BH49">
        <v>73.7</v>
      </c>
      <c r="BI49">
        <v>70.5</v>
      </c>
      <c r="BJ49">
        <v>14.281959752685427</v>
      </c>
    </row>
    <row r="50" spans="1:62" ht="16.5" customHeight="1" x14ac:dyDescent="0.25">
      <c r="A50" s="45" t="s">
        <v>50</v>
      </c>
      <c r="B50" s="45"/>
      <c r="C50" t="s">
        <v>48</v>
      </c>
      <c r="D50" s="10">
        <f t="shared" si="18"/>
        <v>1.4999999999999999E-2</v>
      </c>
      <c r="E50" s="7">
        <v>24</v>
      </c>
      <c r="F50" s="7">
        <v>100</v>
      </c>
      <c r="G50" s="7">
        <v>9</v>
      </c>
      <c r="H50" s="7" t="s">
        <v>48</v>
      </c>
      <c r="I50" s="3">
        <v>8</v>
      </c>
      <c r="J50" s="8">
        <v>2.1</v>
      </c>
      <c r="K50" s="1"/>
      <c r="L50" s="6">
        <f t="shared" si="17"/>
        <v>217.36334405144697</v>
      </c>
      <c r="M50" s="6">
        <f t="shared" si="19"/>
        <v>696.92307692307702</v>
      </c>
      <c r="N50" s="6">
        <v>67.599999999999994</v>
      </c>
      <c r="O50" s="7">
        <v>68.900000000000006</v>
      </c>
      <c r="P50" s="3" t="s">
        <v>48</v>
      </c>
      <c r="Q50" s="3" t="s">
        <v>48</v>
      </c>
      <c r="R50" s="3">
        <v>226.5</v>
      </c>
      <c r="S50" s="7">
        <v>67.5</v>
      </c>
      <c r="T50" s="51">
        <f>R50-110.5</f>
        <v>116</v>
      </c>
      <c r="U50" s="51">
        <f>((M50-(110.5/(1-0.533)))-T50)/(M50-(110.5/(1-0.533)))*100</f>
        <v>74.799393097920216</v>
      </c>
      <c r="V50" s="51">
        <v>110.5</v>
      </c>
      <c r="W50" s="51">
        <v>53</v>
      </c>
      <c r="X50" s="3"/>
      <c r="Y50" s="3"/>
      <c r="Z50" s="7" t="s">
        <v>48</v>
      </c>
      <c r="AA50" s="3" t="s">
        <v>48</v>
      </c>
      <c r="AB50" s="7"/>
      <c r="AC50" t="s">
        <v>176</v>
      </c>
      <c r="AD50">
        <v>4.5999999999999999E-3</v>
      </c>
      <c r="AE50" s="1"/>
      <c r="AF50" s="1"/>
      <c r="AG50" s="3" t="s">
        <v>48</v>
      </c>
      <c r="AH50" s="3" t="s">
        <v>48</v>
      </c>
      <c r="AI50" s="3" t="s">
        <v>48</v>
      </c>
      <c r="AJ50" s="1"/>
      <c r="AK50" s="44"/>
      <c r="AO50">
        <v>10</v>
      </c>
      <c r="AP50">
        <v>3</v>
      </c>
      <c r="AQ50">
        <v>1</v>
      </c>
      <c r="AS50">
        <f t="shared" si="20"/>
        <v>20.922692861643302</v>
      </c>
      <c r="AU50">
        <f t="shared" si="21"/>
        <v>14.281959752685427</v>
      </c>
      <c r="BG50">
        <v>217.36334405144697</v>
      </c>
      <c r="BH50">
        <v>67.599999999999994</v>
      </c>
      <c r="BI50">
        <v>68.900000000000006</v>
      </c>
      <c r="BJ50">
        <v>14.281959752685427</v>
      </c>
    </row>
    <row r="51" spans="1:62" ht="16.5" customHeight="1" x14ac:dyDescent="0.25">
      <c r="A51" s="30"/>
      <c r="B51" s="30"/>
      <c r="D51" s="10"/>
      <c r="E51" s="7"/>
      <c r="F51" s="7"/>
      <c r="G51" s="7"/>
      <c r="H51" s="7"/>
      <c r="I51" s="3"/>
      <c r="J51" s="8"/>
      <c r="K51" s="1"/>
      <c r="L51" s="6"/>
      <c r="M51" s="6"/>
      <c r="N51" s="6"/>
      <c r="O51" s="7"/>
      <c r="P51" s="3"/>
      <c r="Q51" s="3"/>
      <c r="R51" s="3"/>
      <c r="S51" s="7"/>
      <c r="T51" s="7"/>
      <c r="U51" s="7"/>
      <c r="V51" s="7"/>
      <c r="W51" s="7"/>
      <c r="X51" s="3"/>
      <c r="Y51" s="3"/>
      <c r="Z51" s="7"/>
      <c r="AA51" s="3"/>
      <c r="AB51" s="7"/>
      <c r="AD51" s="7"/>
      <c r="AE51" s="1"/>
      <c r="AF51" s="1"/>
      <c r="AG51" s="3"/>
      <c r="AH51" s="3"/>
      <c r="AI51" s="3"/>
      <c r="AJ51" s="1"/>
      <c r="AK51" s="24"/>
    </row>
    <row r="52" spans="1:62" x14ac:dyDescent="0.2">
      <c r="BJ52">
        <f>MEDIAN(BJ2:BJ50)</f>
        <v>12.084735175349207</v>
      </c>
    </row>
    <row r="53" spans="1:62" ht="16.5" customHeight="1" x14ac:dyDescent="0.25">
      <c r="A53" s="45" t="s">
        <v>140</v>
      </c>
      <c r="B53" s="45"/>
      <c r="C53" t="s">
        <v>48</v>
      </c>
      <c r="D53" s="10">
        <v>1.2</v>
      </c>
      <c r="E53" s="10" t="s">
        <v>48</v>
      </c>
      <c r="F53" s="7">
        <v>530</v>
      </c>
      <c r="G53" s="7">
        <v>1</v>
      </c>
      <c r="H53" s="7"/>
      <c r="I53" s="3" t="s">
        <v>48</v>
      </c>
      <c r="J53" s="8" t="s">
        <v>48</v>
      </c>
      <c r="K53" s="1"/>
      <c r="L53" s="6">
        <v>442</v>
      </c>
      <c r="M53" s="6">
        <v>858</v>
      </c>
      <c r="N53" s="6">
        <v>85</v>
      </c>
      <c r="O53" s="7">
        <v>79.400000000000006</v>
      </c>
      <c r="P53" s="7" t="s">
        <v>48</v>
      </c>
      <c r="Q53" s="3" t="s">
        <v>48</v>
      </c>
      <c r="R53" s="3">
        <v>208</v>
      </c>
      <c r="S53" s="7">
        <v>69.900000000000006</v>
      </c>
      <c r="T53" s="7" t="s">
        <v>48</v>
      </c>
      <c r="U53" s="7" t="s">
        <v>48</v>
      </c>
      <c r="V53" s="7"/>
      <c r="W53" s="7"/>
      <c r="X53" s="3"/>
      <c r="Y53" s="3"/>
      <c r="Z53" s="7" t="s">
        <v>48</v>
      </c>
      <c r="AA53" s="3" t="s">
        <v>48</v>
      </c>
      <c r="AB53" s="7" t="s">
        <v>48</v>
      </c>
      <c r="AC53" s="3" t="s">
        <v>48</v>
      </c>
      <c r="AD53" s="7" t="s">
        <v>48</v>
      </c>
      <c r="AE53" s="1"/>
      <c r="AF53" s="1"/>
      <c r="AG53" s="3" t="s">
        <v>48</v>
      </c>
      <c r="AH53" s="3" t="s">
        <v>48</v>
      </c>
      <c r="AI53" s="3" t="s">
        <v>48</v>
      </c>
      <c r="AJ53" s="1"/>
      <c r="AK53" s="24" t="s">
        <v>14</v>
      </c>
      <c r="AO53" t="s">
        <v>160</v>
      </c>
      <c r="BJ53">
        <f>_xlfn.PERCENTILE.INC(BJ2:BJ50,0.25)</f>
        <v>9.8875105980129874</v>
      </c>
    </row>
    <row r="54" spans="1:62" ht="16.5" customHeight="1" x14ac:dyDescent="0.25">
      <c r="A54" s="48" t="s">
        <v>50</v>
      </c>
      <c r="B54" s="48"/>
      <c r="C54" s="14" t="s">
        <v>155</v>
      </c>
      <c r="D54" s="26">
        <f>16.4/1000</f>
        <v>1.6399999999999998E-2</v>
      </c>
      <c r="E54" s="26"/>
      <c r="F54" s="21"/>
      <c r="G54" s="21">
        <v>2</v>
      </c>
      <c r="H54" s="21" t="s">
        <v>48</v>
      </c>
      <c r="I54" s="1"/>
      <c r="J54" s="20"/>
      <c r="K54" s="1"/>
      <c r="L54" s="27">
        <v>3000</v>
      </c>
      <c r="M54" s="27">
        <v>5500</v>
      </c>
      <c r="N54" s="27"/>
      <c r="O54" s="21"/>
      <c r="P54" s="21"/>
      <c r="Q54" s="1"/>
      <c r="R54" s="1"/>
      <c r="S54" s="21"/>
      <c r="T54" s="21"/>
      <c r="U54" s="21"/>
      <c r="V54" s="21"/>
      <c r="W54" s="21"/>
      <c r="X54" s="1"/>
      <c r="Y54" s="1"/>
      <c r="Z54" s="7" t="s">
        <v>48</v>
      </c>
      <c r="AA54" s="3" t="s">
        <v>48</v>
      </c>
      <c r="AB54" s="7" t="s">
        <v>48</v>
      </c>
      <c r="AC54" s="3" t="s">
        <v>48</v>
      </c>
      <c r="AD54" s="7" t="s">
        <v>48</v>
      </c>
      <c r="AE54" s="1"/>
      <c r="AF54" s="1"/>
      <c r="AG54" s="3" t="s">
        <v>48</v>
      </c>
      <c r="AH54" s="3" t="s">
        <v>48</v>
      </c>
      <c r="AI54" s="3" t="s">
        <v>48</v>
      </c>
      <c r="AJ54" s="1"/>
      <c r="AK54" s="28" t="s">
        <v>86</v>
      </c>
      <c r="BJ54">
        <f>_xlfn.PERCENTILE.INC(BJ2:BJ50,0.75)</f>
        <v>15.929878185687592</v>
      </c>
    </row>
    <row r="55" spans="1:62" ht="16.5" customHeight="1" x14ac:dyDescent="0.25">
      <c r="A55" s="45" t="s">
        <v>140</v>
      </c>
      <c r="B55" s="45"/>
      <c r="C55" s="2" t="s">
        <v>155</v>
      </c>
      <c r="D55" s="10">
        <v>1.2</v>
      </c>
      <c r="E55" s="10" t="s">
        <v>48</v>
      </c>
      <c r="F55" s="10" t="s">
        <v>48</v>
      </c>
      <c r="G55" s="7">
        <v>1</v>
      </c>
      <c r="H55" s="7"/>
      <c r="I55" s="10" t="s">
        <v>48</v>
      </c>
      <c r="J55" s="10" t="s">
        <v>48</v>
      </c>
      <c r="K55" s="1"/>
      <c r="L55" s="6">
        <v>1053</v>
      </c>
      <c r="M55" s="6">
        <v>1712</v>
      </c>
      <c r="N55" s="6">
        <v>225</v>
      </c>
      <c r="O55" s="7">
        <v>83.2</v>
      </c>
      <c r="P55" s="7">
        <v>197</v>
      </c>
      <c r="Q55" s="3">
        <v>78.099999999999994</v>
      </c>
      <c r="R55" s="3">
        <v>460</v>
      </c>
      <c r="S55" s="7">
        <v>72.599999999999994</v>
      </c>
      <c r="T55" s="7">
        <f>460-341</f>
        <v>119</v>
      </c>
      <c r="U55" s="7">
        <f>(((1712-927)-(460-341))/((1712-927)))*100</f>
        <v>84.840764331210195</v>
      </c>
      <c r="V55" s="7"/>
      <c r="W55" s="7"/>
      <c r="X55" s="1"/>
      <c r="Y55" s="1"/>
      <c r="Z55" s="7" t="s">
        <v>48</v>
      </c>
      <c r="AA55" s="3" t="s">
        <v>48</v>
      </c>
      <c r="AB55" s="7" t="s">
        <v>48</v>
      </c>
      <c r="AC55" s="3" t="s">
        <v>48</v>
      </c>
      <c r="AD55" s="7" t="s">
        <v>48</v>
      </c>
      <c r="AE55" s="1"/>
      <c r="AF55" s="1"/>
      <c r="AG55" s="3" t="s">
        <v>48</v>
      </c>
      <c r="AH55" s="3" t="s">
        <v>48</v>
      </c>
      <c r="AI55" s="3" t="s">
        <v>48</v>
      </c>
      <c r="AJ55" s="1"/>
      <c r="AK55" s="24" t="s">
        <v>156</v>
      </c>
      <c r="AN55" t="s">
        <v>157</v>
      </c>
      <c r="AO55" t="s">
        <v>158</v>
      </c>
    </row>
    <row r="56" spans="1:62" ht="16.5" customHeight="1" x14ac:dyDescent="0.25">
      <c r="A56" s="45" t="s">
        <v>150</v>
      </c>
      <c r="B56" s="45"/>
      <c r="C56" t="s">
        <v>48</v>
      </c>
      <c r="D56">
        <f>52.5/1000</f>
        <v>5.2499999999999998E-2</v>
      </c>
      <c r="E56">
        <v>20</v>
      </c>
      <c r="F56">
        <v>30</v>
      </c>
      <c r="G56" s="7">
        <v>2</v>
      </c>
      <c r="H56" s="7"/>
      <c r="I56">
        <v>24</v>
      </c>
      <c r="L56" s="49" t="s">
        <v>151</v>
      </c>
      <c r="M56" s="49"/>
      <c r="N56" s="49"/>
      <c r="O56" s="49"/>
      <c r="P56" s="49"/>
      <c r="Q56" s="49"/>
      <c r="R56" s="49"/>
      <c r="S56" s="49"/>
      <c r="T56" s="49"/>
      <c r="U56" s="49"/>
      <c r="V56" s="43"/>
      <c r="W56" s="43"/>
      <c r="Z56" s="7" t="s">
        <v>48</v>
      </c>
      <c r="AA56" s="3" t="s">
        <v>48</v>
      </c>
      <c r="AB56" s="7" t="s">
        <v>48</v>
      </c>
      <c r="AC56" s="3" t="s">
        <v>48</v>
      </c>
      <c r="AD56" s="7" t="s">
        <v>48</v>
      </c>
      <c r="AE56" s="1"/>
      <c r="AF56" s="1"/>
      <c r="AG56" s="1"/>
      <c r="AH56" s="3" t="s">
        <v>48</v>
      </c>
      <c r="AI56" s="3" t="s">
        <v>48</v>
      </c>
      <c r="AK56" s="45" t="s">
        <v>152</v>
      </c>
      <c r="BJ56">
        <f>MIN(BJ2:BJ50)</f>
        <v>7.6902860206767683</v>
      </c>
    </row>
    <row r="57" spans="1:62" ht="16.5" customHeight="1" x14ac:dyDescent="0.25">
      <c r="A57" s="45" t="s">
        <v>150</v>
      </c>
      <c r="B57" s="45"/>
      <c r="C57" t="s">
        <v>48</v>
      </c>
      <c r="D57">
        <f t="shared" ref="D57:D58" si="22">52.5/1000</f>
        <v>5.2499999999999998E-2</v>
      </c>
      <c r="E57">
        <v>20</v>
      </c>
      <c r="F57">
        <v>30</v>
      </c>
      <c r="G57" s="7">
        <v>2</v>
      </c>
      <c r="H57" s="7"/>
      <c r="I57" s="3">
        <v>18</v>
      </c>
      <c r="J57" s="12"/>
      <c r="K57" s="1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3"/>
      <c r="W57" s="43"/>
      <c r="X57" s="1"/>
      <c r="Y57" s="1"/>
      <c r="Z57" s="7" t="s">
        <v>48</v>
      </c>
      <c r="AA57" s="3" t="s">
        <v>48</v>
      </c>
      <c r="AB57" s="7" t="s">
        <v>48</v>
      </c>
      <c r="AC57" s="3" t="s">
        <v>48</v>
      </c>
      <c r="AD57" s="7" t="s">
        <v>48</v>
      </c>
      <c r="AE57" s="1"/>
      <c r="AF57" s="1"/>
      <c r="AG57" s="1"/>
      <c r="AH57" s="3" t="s">
        <v>48</v>
      </c>
      <c r="AI57" s="3" t="s">
        <v>48</v>
      </c>
      <c r="AJ57" s="1"/>
      <c r="AK57" s="45"/>
      <c r="AL57" t="s">
        <v>153</v>
      </c>
      <c r="BJ57">
        <f>MAX(BJ2:BJ50)</f>
        <v>20.873633484694086</v>
      </c>
    </row>
    <row r="58" spans="1:62" ht="16.5" customHeight="1" x14ac:dyDescent="0.25">
      <c r="A58" s="45" t="s">
        <v>150</v>
      </c>
      <c r="B58" s="45"/>
      <c r="C58" t="s">
        <v>48</v>
      </c>
      <c r="D58">
        <f t="shared" si="22"/>
        <v>5.2499999999999998E-2</v>
      </c>
      <c r="E58">
        <v>20</v>
      </c>
      <c r="F58">
        <v>30</v>
      </c>
      <c r="G58" s="7">
        <v>2</v>
      </c>
      <c r="H58" s="7"/>
      <c r="I58" s="3">
        <v>12</v>
      </c>
      <c r="J58" s="12"/>
      <c r="K58" s="1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3"/>
      <c r="W58" s="43"/>
      <c r="X58" s="1"/>
      <c r="Y58" s="1"/>
      <c r="Z58" s="7" t="s">
        <v>48</v>
      </c>
      <c r="AA58" s="3" t="s">
        <v>48</v>
      </c>
      <c r="AB58" s="7" t="s">
        <v>48</v>
      </c>
      <c r="AC58" s="3" t="s">
        <v>48</v>
      </c>
      <c r="AD58" s="7" t="s">
        <v>48</v>
      </c>
      <c r="AE58" s="1"/>
      <c r="AF58" s="1"/>
      <c r="AG58" s="1"/>
      <c r="AH58" s="3" t="s">
        <v>48</v>
      </c>
      <c r="AI58" s="3" t="s">
        <v>48</v>
      </c>
      <c r="AJ58" s="1"/>
      <c r="AK58" s="45"/>
    </row>
    <row r="60" spans="1:62" x14ac:dyDescent="0.2">
      <c r="A60" s="47" t="s">
        <v>50</v>
      </c>
      <c r="B60" s="47"/>
      <c r="C60" s="33"/>
      <c r="D60" s="33">
        <v>3.42</v>
      </c>
      <c r="E60" s="34"/>
      <c r="F60" s="33">
        <v>141</v>
      </c>
      <c r="G60" s="33"/>
      <c r="H60" s="33"/>
      <c r="I60" s="33">
        <v>23</v>
      </c>
      <c r="J60" s="35"/>
      <c r="K60" s="33"/>
      <c r="L60" s="34"/>
      <c r="M60" s="36">
        <f>(J60*D60)/(D60/(I60*24))</f>
        <v>0</v>
      </c>
      <c r="N60" s="36"/>
      <c r="O60" s="37"/>
      <c r="P60" s="37"/>
      <c r="Q60" s="33"/>
      <c r="R60" s="33"/>
      <c r="S60" s="37"/>
      <c r="T60" s="37"/>
      <c r="U60" s="33"/>
      <c r="V60" s="33"/>
      <c r="W60" s="33"/>
      <c r="X60" s="33"/>
      <c r="Y60" s="33"/>
      <c r="Z60" s="33" t="s">
        <v>48</v>
      </c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 t="s">
        <v>133</v>
      </c>
    </row>
    <row r="61" spans="1:62" x14ac:dyDescent="0.2">
      <c r="A61" s="47" t="s">
        <v>50</v>
      </c>
      <c r="B61" s="47"/>
      <c r="C61" s="33" t="s">
        <v>48</v>
      </c>
      <c r="D61" s="33">
        <v>3.42</v>
      </c>
      <c r="E61" s="34"/>
      <c r="F61" s="33">
        <v>126</v>
      </c>
      <c r="G61" s="33"/>
      <c r="H61" s="33"/>
      <c r="I61" s="33">
        <v>22</v>
      </c>
      <c r="J61" s="38">
        <v>0.73699999999999999</v>
      </c>
      <c r="K61" s="33"/>
      <c r="L61" s="33" t="s">
        <v>48</v>
      </c>
      <c r="M61" s="36">
        <f>(J61*D61)/(D61/(I61*24))</f>
        <v>389.13600000000002</v>
      </c>
      <c r="N61" s="36"/>
      <c r="O61" s="37" t="s">
        <v>48</v>
      </c>
      <c r="P61" s="37"/>
      <c r="Q61" s="33" t="s">
        <v>48</v>
      </c>
      <c r="R61" s="33"/>
      <c r="S61" s="37"/>
      <c r="T61" s="37"/>
      <c r="U61" s="33"/>
      <c r="V61" s="33"/>
      <c r="W61" s="33"/>
      <c r="X61" s="33"/>
      <c r="Y61" s="33"/>
      <c r="Z61" s="33">
        <v>0</v>
      </c>
      <c r="AA61" s="33">
        <v>2.54</v>
      </c>
      <c r="AB61" s="33"/>
      <c r="AC61" s="33" t="s">
        <v>48</v>
      </c>
      <c r="AD61" s="33" t="s">
        <v>48</v>
      </c>
      <c r="AE61" s="33"/>
      <c r="AF61" s="33"/>
      <c r="AG61" s="33"/>
      <c r="AH61" s="33"/>
      <c r="AI61" s="33"/>
      <c r="AJ61" s="33"/>
      <c r="AK61" s="47" t="s">
        <v>133</v>
      </c>
    </row>
    <row r="62" spans="1:62" x14ac:dyDescent="0.2">
      <c r="A62" s="47" t="s">
        <v>50</v>
      </c>
      <c r="B62" s="47"/>
      <c r="C62" s="33" t="s">
        <v>48</v>
      </c>
      <c r="D62" s="33">
        <v>3.42</v>
      </c>
      <c r="E62" s="34"/>
      <c r="F62" s="33">
        <v>184</v>
      </c>
      <c r="G62" s="33"/>
      <c r="H62" s="33"/>
      <c r="I62" s="33">
        <v>42</v>
      </c>
      <c r="J62" s="38">
        <v>0.40799999999999997</v>
      </c>
      <c r="K62" s="33"/>
      <c r="L62" s="33" t="s">
        <v>48</v>
      </c>
      <c r="M62" s="36">
        <f>(J62*D62)/(D62/(I62*24))</f>
        <v>411.26400000000001</v>
      </c>
      <c r="N62" s="36"/>
      <c r="O62" s="37" t="s">
        <v>48</v>
      </c>
      <c r="P62" s="37"/>
      <c r="Q62" s="33" t="s">
        <v>48</v>
      </c>
      <c r="R62" s="33"/>
      <c r="S62" s="37"/>
      <c r="T62" s="37"/>
      <c r="U62" s="33"/>
      <c r="V62" s="33"/>
      <c r="W62" s="33"/>
      <c r="X62" s="33"/>
      <c r="Y62" s="33"/>
      <c r="Z62" s="33">
        <v>0</v>
      </c>
      <c r="AA62" s="33">
        <v>1.26</v>
      </c>
      <c r="AB62" s="33"/>
      <c r="AC62" s="33" t="s">
        <v>134</v>
      </c>
      <c r="AD62" s="33" t="s">
        <v>48</v>
      </c>
      <c r="AE62" s="33"/>
      <c r="AF62" s="33"/>
      <c r="AG62" s="33"/>
      <c r="AH62" s="33"/>
      <c r="AI62" s="33"/>
      <c r="AJ62" s="33"/>
      <c r="AK62" s="47"/>
    </row>
    <row r="64" spans="1:62" ht="16.5" customHeight="1" x14ac:dyDescent="0.25">
      <c r="A64" s="45" t="s">
        <v>145</v>
      </c>
      <c r="B64" s="45"/>
      <c r="C64" t="s">
        <v>48</v>
      </c>
      <c r="D64" s="10">
        <f>4.5+2.1+1.9+1.1+2.3+1.1+1.4</f>
        <v>14.399999999999999</v>
      </c>
      <c r="E64" s="10" t="s">
        <v>48</v>
      </c>
      <c r="F64" s="10" t="s">
        <v>48</v>
      </c>
      <c r="G64" s="10" t="s">
        <v>146</v>
      </c>
      <c r="H64" s="10" t="s">
        <v>48</v>
      </c>
      <c r="I64" s="3">
        <v>24</v>
      </c>
      <c r="J64" s="8">
        <f>((M64*(D64/I64)*24)/1000)/D64</f>
        <v>0.22320000000000004</v>
      </c>
      <c r="K64" s="1"/>
      <c r="L64" s="6">
        <v>54.6</v>
      </c>
      <c r="M64" s="6">
        <v>223.2</v>
      </c>
      <c r="N64" s="6">
        <v>8.1999999999999993</v>
      </c>
      <c r="O64" s="9">
        <f>((L64-N64)/L64)*100</f>
        <v>84.981684981684992</v>
      </c>
      <c r="P64" s="3" t="s">
        <v>48</v>
      </c>
      <c r="Q64" s="3" t="s">
        <v>48</v>
      </c>
      <c r="R64" s="3">
        <v>43.7</v>
      </c>
      <c r="S64" s="9">
        <f>((M64-R64)/M64)*100</f>
        <v>80.421146953405014</v>
      </c>
      <c r="T64" s="3" t="s">
        <v>48</v>
      </c>
      <c r="U64" s="3" t="s">
        <v>48</v>
      </c>
      <c r="V64" s="3"/>
      <c r="W64" s="3"/>
      <c r="X64" s="1"/>
      <c r="Y64" s="1"/>
      <c r="Z64" s="7" t="s">
        <v>48</v>
      </c>
      <c r="AA64" s="3" t="s">
        <v>48</v>
      </c>
      <c r="AB64" s="7" t="s">
        <v>48</v>
      </c>
      <c r="AC64" s="3" t="s">
        <v>48</v>
      </c>
      <c r="AD64" s="7" t="s">
        <v>48</v>
      </c>
      <c r="AE64" s="1"/>
      <c r="AF64" s="1"/>
      <c r="AG64" s="1"/>
      <c r="AH64" s="3" t="s">
        <v>48</v>
      </c>
      <c r="AI64" s="3" t="s">
        <v>48</v>
      </c>
      <c r="AJ64" s="1"/>
      <c r="AK64" s="44" t="s">
        <v>59</v>
      </c>
    </row>
    <row r="65" spans="1:37" ht="16.5" customHeight="1" x14ac:dyDescent="0.25">
      <c r="A65" s="45" t="s">
        <v>145</v>
      </c>
      <c r="B65" s="45"/>
      <c r="C65" t="s">
        <v>48</v>
      </c>
      <c r="D65" s="10">
        <f>0.21+0.09+0.09+0.05+0.11+0.05+0.08</f>
        <v>0.68</v>
      </c>
      <c r="E65" s="10" t="s">
        <v>48</v>
      </c>
      <c r="F65" s="10">
        <v>365</v>
      </c>
      <c r="G65" s="10" t="s">
        <v>146</v>
      </c>
      <c r="H65" s="10" t="s">
        <v>48</v>
      </c>
      <c r="I65" s="3">
        <v>72</v>
      </c>
      <c r="J65" s="8">
        <f>((M65*(D65/I65)*24)/1000)/D65</f>
        <v>0.27463333333333328</v>
      </c>
      <c r="K65" s="1"/>
      <c r="L65" s="6">
        <v>203.9</v>
      </c>
      <c r="M65" s="6">
        <v>823.9</v>
      </c>
      <c r="N65" s="6">
        <v>7.4</v>
      </c>
      <c r="O65" s="9">
        <f>((L65-N65)/L65)*100</f>
        <v>96.370769985286913</v>
      </c>
      <c r="P65" s="3" t="s">
        <v>48</v>
      </c>
      <c r="Q65" s="3" t="s">
        <v>48</v>
      </c>
      <c r="R65" s="3">
        <v>1.6</v>
      </c>
      <c r="S65" s="9">
        <f>((M65-R65)/M65)*100</f>
        <v>99.805801674960549</v>
      </c>
      <c r="T65" s="3" t="s">
        <v>48</v>
      </c>
      <c r="U65" s="3" t="s">
        <v>48</v>
      </c>
      <c r="V65" s="3"/>
      <c r="W65" s="3"/>
      <c r="X65" s="1"/>
      <c r="Y65" s="1"/>
      <c r="Z65" s="7" t="s">
        <v>48</v>
      </c>
      <c r="AA65" s="3" t="s">
        <v>48</v>
      </c>
      <c r="AB65" s="7" t="s">
        <v>48</v>
      </c>
      <c r="AC65" s="3" t="s">
        <v>48</v>
      </c>
      <c r="AD65" s="7" t="s">
        <v>48</v>
      </c>
      <c r="AE65" s="1"/>
      <c r="AF65" s="1"/>
      <c r="AG65" s="1"/>
      <c r="AH65" s="3" t="s">
        <v>48</v>
      </c>
      <c r="AI65" s="3" t="s">
        <v>48</v>
      </c>
      <c r="AJ65" s="1"/>
      <c r="AK65" s="44"/>
    </row>
    <row r="67" spans="1:37" ht="16.5" customHeight="1" x14ac:dyDescent="0.25">
      <c r="A67" s="45" t="s">
        <v>50</v>
      </c>
      <c r="B67" s="45"/>
      <c r="C67" t="s">
        <v>48</v>
      </c>
      <c r="D67" s="10">
        <f t="shared" ref="D67:D77" si="23">37/1000</f>
        <v>3.6999999999999998E-2</v>
      </c>
      <c r="E67" s="10" t="s">
        <v>48</v>
      </c>
      <c r="F67" s="7">
        <v>170</v>
      </c>
      <c r="G67" s="7">
        <v>9</v>
      </c>
      <c r="H67" s="31">
        <f>(D67/I67)/(0.1543)</f>
        <v>4.9956794124000866E-3</v>
      </c>
      <c r="I67" s="7">
        <v>48</v>
      </c>
      <c r="J67" s="8">
        <v>0.28000000000000003</v>
      </c>
      <c r="K67" s="1"/>
      <c r="L67" s="6">
        <v>258</v>
      </c>
      <c r="M67" s="6">
        <v>588</v>
      </c>
      <c r="N67" s="6">
        <v>20</v>
      </c>
      <c r="O67" s="7">
        <f>((L67-N67)/L67)*100</f>
        <v>92.248062015503876</v>
      </c>
      <c r="P67" s="3" t="s">
        <v>48</v>
      </c>
      <c r="Q67" s="3" t="s">
        <v>48</v>
      </c>
      <c r="R67" s="3">
        <v>70</v>
      </c>
      <c r="S67" s="7">
        <f t="shared" ref="S67:S77" si="24">((M67-R67)/M67)*100</f>
        <v>88.095238095238088</v>
      </c>
      <c r="T67" s="3" t="s">
        <v>48</v>
      </c>
      <c r="U67" s="3" t="s">
        <v>48</v>
      </c>
      <c r="V67" s="3"/>
      <c r="W67" s="3"/>
      <c r="X67" s="3"/>
      <c r="Y67" s="3"/>
      <c r="Z67" s="7" t="s">
        <v>48</v>
      </c>
      <c r="AA67" s="3" t="s">
        <v>48</v>
      </c>
      <c r="AB67" s="7" t="s">
        <v>48</v>
      </c>
      <c r="AC67" s="3" t="s">
        <v>48</v>
      </c>
      <c r="AD67" s="7" t="s">
        <v>48</v>
      </c>
      <c r="AE67" s="1"/>
      <c r="AF67" s="1"/>
      <c r="AG67" s="3" t="s">
        <v>48</v>
      </c>
      <c r="AH67" s="3" t="s">
        <v>48</v>
      </c>
      <c r="AI67" s="3" t="s">
        <v>48</v>
      </c>
      <c r="AJ67" s="1"/>
      <c r="AK67" s="44" t="s">
        <v>98</v>
      </c>
    </row>
    <row r="68" spans="1:37" ht="16.5" customHeight="1" x14ac:dyDescent="0.25">
      <c r="A68" s="45" t="s">
        <v>50</v>
      </c>
      <c r="B68" s="45"/>
      <c r="C68" t="s">
        <v>48</v>
      </c>
      <c r="D68" s="10">
        <f t="shared" si="23"/>
        <v>3.6999999999999998E-2</v>
      </c>
      <c r="E68" s="10" t="s">
        <v>48</v>
      </c>
      <c r="F68" s="7">
        <f>230-170</f>
        <v>60</v>
      </c>
      <c r="G68" s="7">
        <v>9</v>
      </c>
      <c r="H68" s="31">
        <f t="shared" ref="H68:H77" si="25">(D68/I68)/(0.1543)</f>
        <v>6.6609058832001146E-3</v>
      </c>
      <c r="I68" s="7">
        <v>36</v>
      </c>
      <c r="J68" s="8">
        <f t="shared" ref="J68:J77" si="26">((M68*(D68/I68)*24)/1000)/D68</f>
        <v>0.39666666666666661</v>
      </c>
      <c r="K68" s="1"/>
      <c r="L68" s="6">
        <v>276</v>
      </c>
      <c r="M68" s="6">
        <v>595</v>
      </c>
      <c r="N68" s="6">
        <v>21</v>
      </c>
      <c r="O68" s="7">
        <f t="shared" ref="O68:O77" si="27">((L68-N68)/L68)*100</f>
        <v>92.391304347826093</v>
      </c>
      <c r="P68" s="6" t="s">
        <v>48</v>
      </c>
      <c r="Q68" s="6" t="s">
        <v>48</v>
      </c>
      <c r="R68" s="3">
        <v>68</v>
      </c>
      <c r="S68" s="7">
        <f t="shared" si="24"/>
        <v>88.571428571428569</v>
      </c>
      <c r="T68" s="6" t="s">
        <v>48</v>
      </c>
      <c r="U68" s="6" t="s">
        <v>48</v>
      </c>
      <c r="V68" s="6"/>
      <c r="W68" s="6"/>
      <c r="X68" s="3"/>
      <c r="Y68" s="3"/>
      <c r="Z68" s="7" t="s">
        <v>48</v>
      </c>
      <c r="AA68" s="3" t="s">
        <v>48</v>
      </c>
      <c r="AB68" s="7" t="s">
        <v>48</v>
      </c>
      <c r="AC68" s="3" t="s">
        <v>48</v>
      </c>
      <c r="AD68" s="7" t="s">
        <v>48</v>
      </c>
      <c r="AE68" s="1"/>
      <c r="AF68" s="1"/>
      <c r="AG68" s="3" t="s">
        <v>48</v>
      </c>
      <c r="AH68" s="3" t="s">
        <v>48</v>
      </c>
      <c r="AI68" s="3" t="s">
        <v>48</v>
      </c>
      <c r="AJ68" s="1"/>
      <c r="AK68" s="44"/>
    </row>
    <row r="69" spans="1:37" ht="16.5" customHeight="1" x14ac:dyDescent="0.25">
      <c r="A69" s="45" t="s">
        <v>50</v>
      </c>
      <c r="B69" s="45"/>
      <c r="C69" t="s">
        <v>48</v>
      </c>
      <c r="D69" s="10">
        <f t="shared" si="23"/>
        <v>3.6999999999999998E-2</v>
      </c>
      <c r="E69" s="10" t="s">
        <v>48</v>
      </c>
      <c r="F69" s="7">
        <f>270-230</f>
        <v>40</v>
      </c>
      <c r="G69" s="7">
        <v>9</v>
      </c>
      <c r="H69" s="31">
        <f t="shared" si="25"/>
        <v>9.9913588248001731E-3</v>
      </c>
      <c r="I69" s="7">
        <v>24</v>
      </c>
      <c r="J69" s="8">
        <f t="shared" si="26"/>
        <v>0.58199999999999996</v>
      </c>
      <c r="K69" s="1"/>
      <c r="L69" s="6">
        <v>270</v>
      </c>
      <c r="M69" s="6">
        <v>582</v>
      </c>
      <c r="N69" s="6">
        <v>23</v>
      </c>
      <c r="O69" s="7">
        <f t="shared" si="27"/>
        <v>91.481481481481481</v>
      </c>
      <c r="P69" s="3" t="s">
        <v>48</v>
      </c>
      <c r="Q69" s="3" t="s">
        <v>48</v>
      </c>
      <c r="R69" s="3">
        <v>95</v>
      </c>
      <c r="S69" s="7">
        <f t="shared" si="24"/>
        <v>83.67697594501719</v>
      </c>
      <c r="T69" s="3" t="s">
        <v>48</v>
      </c>
      <c r="U69" s="3" t="s">
        <v>48</v>
      </c>
      <c r="V69" s="3"/>
      <c r="W69" s="3"/>
      <c r="X69" s="3"/>
      <c r="Y69" s="3"/>
      <c r="Z69" s="7" t="s">
        <v>48</v>
      </c>
      <c r="AA69" s="3" t="s">
        <v>48</v>
      </c>
      <c r="AB69" s="7" t="s">
        <v>48</v>
      </c>
      <c r="AC69" s="3" t="s">
        <v>48</v>
      </c>
      <c r="AD69" s="7" t="s">
        <v>48</v>
      </c>
      <c r="AE69" s="1"/>
      <c r="AF69" s="1"/>
      <c r="AG69" s="3" t="s">
        <v>48</v>
      </c>
      <c r="AH69" s="3" t="s">
        <v>48</v>
      </c>
      <c r="AI69" s="3" t="s">
        <v>48</v>
      </c>
      <c r="AJ69" s="1"/>
      <c r="AK69" s="44"/>
    </row>
    <row r="70" spans="1:37" ht="16.5" customHeight="1" x14ac:dyDescent="0.25">
      <c r="A70" s="45" t="s">
        <v>162</v>
      </c>
      <c r="B70" s="45"/>
      <c r="C70" t="s">
        <v>48</v>
      </c>
      <c r="D70" s="10">
        <f t="shared" si="23"/>
        <v>3.6999999999999998E-2</v>
      </c>
      <c r="E70" s="10" t="s">
        <v>48</v>
      </c>
      <c r="F70" s="7">
        <v>7</v>
      </c>
      <c r="G70" s="7">
        <v>9</v>
      </c>
      <c r="H70" s="31">
        <f t="shared" si="25"/>
        <v>9.9913588248001731E-3</v>
      </c>
      <c r="I70" s="3">
        <v>24</v>
      </c>
      <c r="J70" s="8">
        <f t="shared" si="26"/>
        <v>0.56400000000000006</v>
      </c>
      <c r="K70" s="1"/>
      <c r="L70" s="6">
        <v>267</v>
      </c>
      <c r="M70" s="6">
        <v>564</v>
      </c>
      <c r="N70" s="6">
        <v>17</v>
      </c>
      <c r="O70" s="7">
        <f t="shared" si="27"/>
        <v>93.63295880149812</v>
      </c>
      <c r="P70" s="3" t="s">
        <v>48</v>
      </c>
      <c r="Q70" s="3" t="s">
        <v>48</v>
      </c>
      <c r="R70" s="3">
        <v>68</v>
      </c>
      <c r="S70" s="7">
        <f t="shared" si="24"/>
        <v>87.943262411347519</v>
      </c>
      <c r="T70" s="3" t="s">
        <v>48</v>
      </c>
      <c r="U70" s="3" t="s">
        <v>48</v>
      </c>
      <c r="V70" s="3"/>
      <c r="W70" s="3"/>
      <c r="X70" s="3"/>
      <c r="Y70" s="3"/>
      <c r="Z70" s="7" t="s">
        <v>48</v>
      </c>
      <c r="AA70" s="3" t="s">
        <v>48</v>
      </c>
      <c r="AB70" s="7" t="s">
        <v>48</v>
      </c>
      <c r="AC70" s="3" t="s">
        <v>48</v>
      </c>
      <c r="AD70" s="7" t="s">
        <v>48</v>
      </c>
      <c r="AE70" s="1"/>
      <c r="AF70" s="1"/>
      <c r="AG70" s="3" t="s">
        <v>48</v>
      </c>
      <c r="AH70" s="3" t="s">
        <v>48</v>
      </c>
      <c r="AI70" s="3" t="s">
        <v>48</v>
      </c>
      <c r="AJ70" s="1"/>
      <c r="AK70" s="44"/>
    </row>
    <row r="71" spans="1:37" ht="16.5" customHeight="1" x14ac:dyDescent="0.25">
      <c r="A71" s="45" t="s">
        <v>163</v>
      </c>
      <c r="B71" s="45"/>
      <c r="C71" t="s">
        <v>48</v>
      </c>
      <c r="D71" s="10">
        <f t="shared" si="23"/>
        <v>3.6999999999999998E-2</v>
      </c>
      <c r="E71" s="10" t="s">
        <v>48</v>
      </c>
      <c r="F71" s="7">
        <v>7</v>
      </c>
      <c r="G71" s="7">
        <v>9</v>
      </c>
      <c r="H71" s="31">
        <f t="shared" si="25"/>
        <v>9.9913588248001731E-3</v>
      </c>
      <c r="I71" s="3">
        <v>24</v>
      </c>
      <c r="J71" s="8">
        <f t="shared" si="26"/>
        <v>0.56400000000000006</v>
      </c>
      <c r="K71" s="1"/>
      <c r="L71" s="6">
        <v>267</v>
      </c>
      <c r="M71" s="6">
        <v>564</v>
      </c>
      <c r="N71" s="6">
        <v>19</v>
      </c>
      <c r="O71" s="7">
        <f t="shared" si="27"/>
        <v>92.883895131086149</v>
      </c>
      <c r="P71" s="3" t="s">
        <v>48</v>
      </c>
      <c r="Q71" s="3" t="s">
        <v>48</v>
      </c>
      <c r="R71" s="3">
        <v>61</v>
      </c>
      <c r="S71" s="7">
        <f t="shared" si="24"/>
        <v>89.184397163120565</v>
      </c>
      <c r="T71" s="3" t="s">
        <v>48</v>
      </c>
      <c r="U71" s="3" t="s">
        <v>48</v>
      </c>
      <c r="V71" s="3"/>
      <c r="W71" s="3"/>
      <c r="X71" s="3"/>
      <c r="Y71" s="3"/>
      <c r="Z71" s="7" t="s">
        <v>48</v>
      </c>
      <c r="AA71" s="3" t="s">
        <v>48</v>
      </c>
      <c r="AB71" s="7" t="s">
        <v>48</v>
      </c>
      <c r="AC71" s="3" t="s">
        <v>48</v>
      </c>
      <c r="AD71" s="7" t="s">
        <v>48</v>
      </c>
      <c r="AE71" s="1"/>
      <c r="AF71" s="1"/>
      <c r="AG71" s="3" t="s">
        <v>48</v>
      </c>
      <c r="AH71" s="3" t="s">
        <v>48</v>
      </c>
      <c r="AI71" s="3" t="s">
        <v>48</v>
      </c>
      <c r="AJ71" s="1"/>
      <c r="AK71" s="44"/>
    </row>
    <row r="72" spans="1:37" ht="16.5" customHeight="1" x14ac:dyDescent="0.25">
      <c r="A72" s="45" t="s">
        <v>164</v>
      </c>
      <c r="B72" s="45"/>
      <c r="C72" t="s">
        <v>48</v>
      </c>
      <c r="D72" s="10">
        <f t="shared" si="23"/>
        <v>3.6999999999999998E-2</v>
      </c>
      <c r="E72" s="10" t="s">
        <v>48</v>
      </c>
      <c r="F72" s="7">
        <v>7</v>
      </c>
      <c r="G72" s="7">
        <v>9</v>
      </c>
      <c r="H72" s="31">
        <f t="shared" si="25"/>
        <v>9.9913588248001731E-3</v>
      </c>
      <c r="I72" s="3">
        <v>24</v>
      </c>
      <c r="J72" s="8">
        <f t="shared" si="26"/>
        <v>0.56400000000000006</v>
      </c>
      <c r="K72" s="1"/>
      <c r="L72" s="6">
        <v>267</v>
      </c>
      <c r="M72" s="6">
        <v>564</v>
      </c>
      <c r="N72" s="6">
        <v>18</v>
      </c>
      <c r="O72" s="7">
        <f t="shared" si="27"/>
        <v>93.258426966292134</v>
      </c>
      <c r="P72" s="3" t="s">
        <v>48</v>
      </c>
      <c r="Q72" s="3" t="s">
        <v>48</v>
      </c>
      <c r="R72" s="3">
        <v>53</v>
      </c>
      <c r="S72" s="7">
        <f t="shared" si="24"/>
        <v>90.60283687943263</v>
      </c>
      <c r="T72" s="3" t="s">
        <v>48</v>
      </c>
      <c r="U72" s="3" t="s">
        <v>48</v>
      </c>
      <c r="V72" s="3"/>
      <c r="W72" s="3"/>
      <c r="X72" s="3"/>
      <c r="Y72" s="3"/>
      <c r="Z72" s="7" t="s">
        <v>48</v>
      </c>
      <c r="AA72" s="3" t="s">
        <v>48</v>
      </c>
      <c r="AB72" s="7" t="s">
        <v>48</v>
      </c>
      <c r="AC72" s="3" t="s">
        <v>48</v>
      </c>
      <c r="AD72" s="7" t="s">
        <v>48</v>
      </c>
      <c r="AE72" s="1"/>
      <c r="AF72" s="1"/>
      <c r="AG72" s="3" t="s">
        <v>48</v>
      </c>
      <c r="AH72" s="3" t="s">
        <v>48</v>
      </c>
      <c r="AI72" s="3" t="s">
        <v>48</v>
      </c>
      <c r="AJ72" s="1"/>
      <c r="AK72" s="44"/>
    </row>
    <row r="73" spans="1:37" ht="16.5" customHeight="1" x14ac:dyDescent="0.25">
      <c r="A73" s="45" t="s">
        <v>165</v>
      </c>
      <c r="B73" s="45"/>
      <c r="C73" t="s">
        <v>48</v>
      </c>
      <c r="D73" s="10">
        <f t="shared" si="23"/>
        <v>3.6999999999999998E-2</v>
      </c>
      <c r="E73" s="10" t="s">
        <v>48</v>
      </c>
      <c r="F73" s="7">
        <v>7</v>
      </c>
      <c r="G73" s="7">
        <v>9</v>
      </c>
      <c r="H73" s="31">
        <f t="shared" si="25"/>
        <v>9.9913588248001731E-3</v>
      </c>
      <c r="I73" s="3">
        <v>24</v>
      </c>
      <c r="J73" s="8">
        <f t="shared" si="26"/>
        <v>0.56400000000000006</v>
      </c>
      <c r="K73" s="1"/>
      <c r="L73" s="6">
        <v>267</v>
      </c>
      <c r="M73" s="6">
        <v>564</v>
      </c>
      <c r="N73" s="6">
        <v>17</v>
      </c>
      <c r="O73" s="7">
        <f t="shared" si="27"/>
        <v>93.63295880149812</v>
      </c>
      <c r="P73" s="3" t="s">
        <v>48</v>
      </c>
      <c r="Q73" s="3" t="s">
        <v>48</v>
      </c>
      <c r="R73" s="3">
        <v>41</v>
      </c>
      <c r="S73" s="7">
        <f t="shared" si="24"/>
        <v>92.730496453900713</v>
      </c>
      <c r="T73" s="3" t="s">
        <v>48</v>
      </c>
      <c r="U73" s="3" t="s">
        <v>48</v>
      </c>
      <c r="V73" s="3"/>
      <c r="W73" s="3"/>
      <c r="X73" s="3"/>
      <c r="Y73" s="3"/>
      <c r="Z73" s="7" t="s">
        <v>48</v>
      </c>
      <c r="AA73" s="3" t="s">
        <v>48</v>
      </c>
      <c r="AB73" s="7" t="s">
        <v>48</v>
      </c>
      <c r="AC73" s="3" t="s">
        <v>48</v>
      </c>
      <c r="AD73" s="7" t="s">
        <v>48</v>
      </c>
      <c r="AE73" s="1"/>
      <c r="AF73" s="1"/>
      <c r="AG73" s="3" t="s">
        <v>48</v>
      </c>
      <c r="AH73" s="3" t="s">
        <v>48</v>
      </c>
      <c r="AI73" s="3" t="s">
        <v>48</v>
      </c>
      <c r="AJ73" s="1"/>
      <c r="AK73" s="44"/>
    </row>
    <row r="74" spans="1:37" ht="16.5" customHeight="1" x14ac:dyDescent="0.25">
      <c r="A74" s="45" t="s">
        <v>165</v>
      </c>
      <c r="B74" s="45"/>
      <c r="C74" t="s">
        <v>48</v>
      </c>
      <c r="D74" s="10">
        <f t="shared" si="23"/>
        <v>3.6999999999999998E-2</v>
      </c>
      <c r="E74" s="10" t="s">
        <v>48</v>
      </c>
      <c r="F74" s="7">
        <v>7</v>
      </c>
      <c r="G74" s="7">
        <v>9</v>
      </c>
      <c r="H74" s="31">
        <f t="shared" si="25"/>
        <v>9.9913588248001731E-3</v>
      </c>
      <c r="I74" s="3">
        <v>24</v>
      </c>
      <c r="J74" s="8">
        <f t="shared" si="26"/>
        <v>0.56400000000000006</v>
      </c>
      <c r="K74" s="1"/>
      <c r="L74" s="6">
        <v>267</v>
      </c>
      <c r="M74" s="6">
        <v>564</v>
      </c>
      <c r="N74" s="6">
        <v>18</v>
      </c>
      <c r="O74" s="7">
        <f t="shared" si="27"/>
        <v>93.258426966292134</v>
      </c>
      <c r="P74" s="3" t="s">
        <v>48</v>
      </c>
      <c r="Q74" s="3" t="s">
        <v>48</v>
      </c>
      <c r="R74" s="3">
        <v>61</v>
      </c>
      <c r="S74" s="7">
        <f t="shared" si="24"/>
        <v>89.184397163120565</v>
      </c>
      <c r="T74" s="3" t="s">
        <v>48</v>
      </c>
      <c r="U74" s="3" t="s">
        <v>48</v>
      </c>
      <c r="V74" s="3"/>
      <c r="W74" s="3"/>
      <c r="X74" s="3"/>
      <c r="Y74" s="3"/>
      <c r="Z74" s="7" t="s">
        <v>48</v>
      </c>
      <c r="AA74" s="3" t="s">
        <v>48</v>
      </c>
      <c r="AB74" s="7" t="s">
        <v>48</v>
      </c>
      <c r="AC74" s="3" t="s">
        <v>48</v>
      </c>
      <c r="AD74" s="7" t="s">
        <v>48</v>
      </c>
      <c r="AE74" s="1"/>
      <c r="AF74" s="1"/>
      <c r="AG74" s="3" t="s">
        <v>48</v>
      </c>
      <c r="AH74" s="3" t="s">
        <v>48</v>
      </c>
      <c r="AI74" s="3" t="s">
        <v>48</v>
      </c>
      <c r="AJ74" s="1"/>
      <c r="AK74" s="44"/>
    </row>
    <row r="75" spans="1:37" ht="16.5" customHeight="1" x14ac:dyDescent="0.25">
      <c r="A75" s="45" t="s">
        <v>166</v>
      </c>
      <c r="B75" s="45"/>
      <c r="C75" t="s">
        <v>48</v>
      </c>
      <c r="D75" s="10">
        <f t="shared" si="23"/>
        <v>3.6999999999999998E-2</v>
      </c>
      <c r="E75" s="10" t="s">
        <v>48</v>
      </c>
      <c r="F75" s="7">
        <v>7</v>
      </c>
      <c r="G75" s="7">
        <v>9</v>
      </c>
      <c r="H75" s="31">
        <f t="shared" si="25"/>
        <v>9.9913588248001731E-3</v>
      </c>
      <c r="I75" s="3">
        <v>24</v>
      </c>
      <c r="J75" s="8">
        <f t="shared" si="26"/>
        <v>0.56400000000000006</v>
      </c>
      <c r="K75" s="1"/>
      <c r="L75" s="6">
        <v>267</v>
      </c>
      <c r="M75" s="6">
        <v>564</v>
      </c>
      <c r="N75" s="6">
        <v>20</v>
      </c>
      <c r="O75" s="7">
        <f t="shared" si="27"/>
        <v>92.509363295880149</v>
      </c>
      <c r="P75" s="3" t="s">
        <v>48</v>
      </c>
      <c r="Q75" s="3" t="s">
        <v>48</v>
      </c>
      <c r="R75" s="3">
        <v>53</v>
      </c>
      <c r="S75" s="7">
        <f t="shared" si="24"/>
        <v>90.60283687943263</v>
      </c>
      <c r="T75" s="3" t="s">
        <v>48</v>
      </c>
      <c r="U75" s="3" t="s">
        <v>48</v>
      </c>
      <c r="V75" s="3"/>
      <c r="W75" s="3"/>
      <c r="X75" s="3"/>
      <c r="Y75" s="3"/>
      <c r="Z75" s="7" t="s">
        <v>48</v>
      </c>
      <c r="AA75" s="3" t="s">
        <v>48</v>
      </c>
      <c r="AB75" s="7" t="s">
        <v>48</v>
      </c>
      <c r="AC75" s="3" t="s">
        <v>48</v>
      </c>
      <c r="AD75" s="7" t="s">
        <v>48</v>
      </c>
      <c r="AE75" s="1"/>
      <c r="AF75" s="1"/>
      <c r="AG75" s="3" t="s">
        <v>48</v>
      </c>
      <c r="AH75" s="3" t="s">
        <v>48</v>
      </c>
      <c r="AI75" s="3" t="s">
        <v>48</v>
      </c>
      <c r="AJ75" s="1"/>
      <c r="AK75" s="44"/>
    </row>
    <row r="76" spans="1:37" ht="16.5" customHeight="1" x14ac:dyDescent="0.25">
      <c r="A76" s="45" t="s">
        <v>167</v>
      </c>
      <c r="B76" s="45"/>
      <c r="C76" t="s">
        <v>48</v>
      </c>
      <c r="D76" s="10">
        <f t="shared" si="23"/>
        <v>3.6999999999999998E-2</v>
      </c>
      <c r="E76" s="10" t="s">
        <v>48</v>
      </c>
      <c r="F76" s="7">
        <v>7</v>
      </c>
      <c r="G76" s="7">
        <v>9</v>
      </c>
      <c r="H76" s="31">
        <f t="shared" si="25"/>
        <v>9.9913588248001731E-3</v>
      </c>
      <c r="I76" s="3">
        <v>24</v>
      </c>
      <c r="J76" s="8">
        <f t="shared" si="26"/>
        <v>0.56400000000000006</v>
      </c>
      <c r="K76" s="1"/>
      <c r="L76" s="6">
        <v>267</v>
      </c>
      <c r="M76" s="6">
        <v>564</v>
      </c>
      <c r="N76" s="6">
        <v>20</v>
      </c>
      <c r="O76" s="7">
        <f t="shared" si="27"/>
        <v>92.509363295880149</v>
      </c>
      <c r="P76" s="3" t="s">
        <v>48</v>
      </c>
      <c r="Q76" s="3" t="s">
        <v>48</v>
      </c>
      <c r="R76" s="3">
        <v>46</v>
      </c>
      <c r="S76" s="7">
        <f t="shared" si="24"/>
        <v>91.843971631205676</v>
      </c>
      <c r="T76" s="3" t="s">
        <v>48</v>
      </c>
      <c r="U76" s="3" t="s">
        <v>48</v>
      </c>
      <c r="V76" s="3"/>
      <c r="W76" s="3"/>
      <c r="X76" s="3"/>
      <c r="Y76" s="3"/>
      <c r="Z76" s="7" t="s">
        <v>48</v>
      </c>
      <c r="AA76" s="3" t="s">
        <v>48</v>
      </c>
      <c r="AB76" s="7" t="s">
        <v>48</v>
      </c>
      <c r="AC76" s="3" t="s">
        <v>48</v>
      </c>
      <c r="AD76" s="7" t="s">
        <v>48</v>
      </c>
      <c r="AE76" s="1"/>
      <c r="AF76" s="1"/>
      <c r="AG76" s="3" t="s">
        <v>48</v>
      </c>
      <c r="AH76" s="3" t="s">
        <v>48</v>
      </c>
      <c r="AI76" s="3" t="s">
        <v>48</v>
      </c>
      <c r="AJ76" s="1"/>
      <c r="AK76" s="44"/>
    </row>
    <row r="77" spans="1:37" ht="16.5" customHeight="1" x14ac:dyDescent="0.25">
      <c r="A77" s="45" t="s">
        <v>168</v>
      </c>
      <c r="B77" s="45"/>
      <c r="C77" t="s">
        <v>48</v>
      </c>
      <c r="D77" s="10">
        <f t="shared" si="23"/>
        <v>3.6999999999999998E-2</v>
      </c>
      <c r="E77" s="10" t="s">
        <v>48</v>
      </c>
      <c r="F77" s="7">
        <v>7</v>
      </c>
      <c r="G77" s="7">
        <v>9</v>
      </c>
      <c r="H77" s="31">
        <f t="shared" si="25"/>
        <v>9.9913588248001731E-3</v>
      </c>
      <c r="I77" s="3">
        <v>24</v>
      </c>
      <c r="J77" s="8">
        <f t="shared" si="26"/>
        <v>0.56400000000000006</v>
      </c>
      <c r="K77" s="1"/>
      <c r="L77" s="6">
        <v>267</v>
      </c>
      <c r="M77" s="6">
        <v>564</v>
      </c>
      <c r="N77" s="6">
        <v>23</v>
      </c>
      <c r="O77" s="7">
        <f t="shared" si="27"/>
        <v>91.385767790262179</v>
      </c>
      <c r="P77" s="3" t="s">
        <v>48</v>
      </c>
      <c r="Q77" s="3" t="s">
        <v>48</v>
      </c>
      <c r="R77" s="3">
        <v>35</v>
      </c>
      <c r="S77" s="7">
        <f t="shared" si="24"/>
        <v>93.794326241134755</v>
      </c>
      <c r="T77" s="3" t="s">
        <v>48</v>
      </c>
      <c r="U77" s="3" t="s">
        <v>48</v>
      </c>
      <c r="V77" s="3"/>
      <c r="W77" s="3"/>
      <c r="X77" s="3"/>
      <c r="Y77" s="3"/>
      <c r="Z77" s="7" t="s">
        <v>48</v>
      </c>
      <c r="AA77" s="3" t="s">
        <v>48</v>
      </c>
      <c r="AB77" s="7" t="s">
        <v>48</v>
      </c>
      <c r="AC77" s="3" t="s">
        <v>48</v>
      </c>
      <c r="AD77" s="7" t="s">
        <v>48</v>
      </c>
      <c r="AE77" s="1"/>
      <c r="AF77" s="1"/>
      <c r="AG77" s="3" t="s">
        <v>48</v>
      </c>
      <c r="AH77" s="3" t="s">
        <v>48</v>
      </c>
      <c r="AI77" s="3" t="s">
        <v>48</v>
      </c>
      <c r="AJ77" s="1"/>
      <c r="AK77" s="44"/>
    </row>
    <row r="79" spans="1:37" ht="16.5" customHeight="1" x14ac:dyDescent="0.25">
      <c r="A79" s="45" t="s">
        <v>147</v>
      </c>
      <c r="B79" s="45"/>
      <c r="C79" t="s">
        <v>48</v>
      </c>
      <c r="D79" s="10">
        <f>230/1000</f>
        <v>0.23</v>
      </c>
      <c r="E79" s="16">
        <v>17.100000000000001</v>
      </c>
      <c r="F79" s="7">
        <f>3*30</f>
        <v>90</v>
      </c>
      <c r="G79" s="7">
        <v>2</v>
      </c>
      <c r="H79" s="7" t="s">
        <v>48</v>
      </c>
      <c r="I79" s="3">
        <f>1.5*24</f>
        <v>36</v>
      </c>
      <c r="J79" s="23"/>
      <c r="K79" s="14"/>
      <c r="L79" s="15"/>
      <c r="M79" s="15"/>
      <c r="N79" s="15"/>
      <c r="O79" s="22"/>
      <c r="P79" s="22"/>
      <c r="Q79" s="11"/>
      <c r="R79" s="11"/>
      <c r="S79" s="22"/>
      <c r="T79" s="22"/>
      <c r="U79" s="22"/>
      <c r="V79" s="22"/>
      <c r="W79" s="22"/>
      <c r="X79" s="14"/>
      <c r="Y79" s="11">
        <v>-0.02</v>
      </c>
      <c r="Z79" s="22"/>
      <c r="AA79" s="11"/>
      <c r="AB79" s="22"/>
      <c r="AC79" s="11"/>
      <c r="AD79" s="22"/>
      <c r="AE79" s="14"/>
      <c r="AF79" s="14"/>
      <c r="AG79" s="14"/>
      <c r="AH79" s="11"/>
      <c r="AI79" s="11"/>
      <c r="AJ79" s="14"/>
      <c r="AK79" s="50"/>
    </row>
    <row r="80" spans="1:37" ht="16.5" customHeight="1" x14ac:dyDescent="0.25">
      <c r="A80" s="45" t="s">
        <v>147</v>
      </c>
      <c r="B80" s="45"/>
      <c r="C80" t="s">
        <v>48</v>
      </c>
      <c r="D80" s="10">
        <f>230/1000</f>
        <v>0.23</v>
      </c>
      <c r="E80" s="16">
        <v>13.9</v>
      </c>
      <c r="F80" s="7">
        <f>3*30</f>
        <v>90</v>
      </c>
      <c r="G80" s="7">
        <v>2</v>
      </c>
      <c r="H80" s="7" t="s">
        <v>48</v>
      </c>
      <c r="I80" s="3">
        <f>1*24</f>
        <v>24</v>
      </c>
      <c r="J80" s="23"/>
      <c r="K80" s="14"/>
      <c r="L80" s="15"/>
      <c r="M80" s="15"/>
      <c r="N80" s="15"/>
      <c r="O80" s="22"/>
      <c r="P80" s="22"/>
      <c r="Q80" s="11"/>
      <c r="R80" s="11"/>
      <c r="S80" s="22"/>
      <c r="T80" s="22"/>
      <c r="U80" s="22"/>
      <c r="V80" s="22"/>
      <c r="W80" s="22"/>
      <c r="X80" s="14"/>
      <c r="Y80" s="11">
        <v>0.04</v>
      </c>
      <c r="Z80" s="22"/>
      <c r="AA80" s="11"/>
      <c r="AB80" s="22"/>
      <c r="AC80" s="11"/>
      <c r="AD80" s="22"/>
      <c r="AE80" s="14"/>
      <c r="AF80" s="14"/>
      <c r="AG80" s="14"/>
      <c r="AH80" s="11"/>
      <c r="AI80" s="11"/>
      <c r="AJ80" s="14"/>
      <c r="AK80" s="50"/>
    </row>
    <row r="81" spans="1:37" ht="16.5" customHeight="1" x14ac:dyDescent="0.25">
      <c r="A81" s="45" t="s">
        <v>147</v>
      </c>
      <c r="B81" s="45"/>
      <c r="C81" t="s">
        <v>48</v>
      </c>
      <c r="D81" s="10">
        <f>230/1000</f>
        <v>0.23</v>
      </c>
      <c r="E81" s="16">
        <v>9.3000000000000007</v>
      </c>
      <c r="F81" s="7">
        <f>3*30</f>
        <v>90</v>
      </c>
      <c r="G81" s="7">
        <v>2</v>
      </c>
      <c r="H81" s="7" t="s">
        <v>48</v>
      </c>
      <c r="I81" s="3">
        <f>0.5*24</f>
        <v>12</v>
      </c>
      <c r="J81" s="23"/>
      <c r="K81" s="14"/>
      <c r="L81" s="15"/>
      <c r="M81" s="15"/>
      <c r="N81" s="15"/>
      <c r="O81" s="22"/>
      <c r="P81" s="22"/>
      <c r="Q81" s="11"/>
      <c r="R81" s="11"/>
      <c r="S81" s="22"/>
      <c r="T81" s="22"/>
      <c r="U81" s="22"/>
      <c r="V81" s="22"/>
      <c r="W81" s="22"/>
      <c r="X81" s="14"/>
      <c r="Y81" s="11">
        <v>0.06</v>
      </c>
      <c r="Z81" s="22"/>
      <c r="AA81" s="11"/>
      <c r="AB81" s="22"/>
      <c r="AC81" s="11"/>
      <c r="AD81" s="22"/>
      <c r="AE81" s="14"/>
      <c r="AF81" s="14"/>
      <c r="AG81" s="14"/>
      <c r="AH81" s="11"/>
      <c r="AI81" s="11"/>
      <c r="AJ81" s="14"/>
      <c r="AK81" s="50"/>
    </row>
    <row r="82" spans="1:37" ht="16.5" customHeight="1" x14ac:dyDescent="0.25">
      <c r="A82" s="45" t="s">
        <v>149</v>
      </c>
      <c r="B82" s="45"/>
      <c r="C82" t="s">
        <v>48</v>
      </c>
      <c r="D82" s="10">
        <v>0.376</v>
      </c>
      <c r="E82" s="16">
        <v>17</v>
      </c>
      <c r="F82" s="7">
        <f>3*30</f>
        <v>90</v>
      </c>
      <c r="G82" s="7">
        <v>6</v>
      </c>
      <c r="H82" s="7" t="s">
        <v>48</v>
      </c>
      <c r="I82" s="3">
        <f>1.5*24</f>
        <v>36</v>
      </c>
      <c r="J82" s="23"/>
      <c r="K82" s="14"/>
      <c r="L82" s="15"/>
      <c r="M82" s="15"/>
      <c r="N82" s="15"/>
      <c r="O82" s="22"/>
      <c r="P82" s="22"/>
      <c r="Q82" s="11"/>
      <c r="R82" s="11"/>
      <c r="S82" s="22"/>
      <c r="T82" s="22"/>
      <c r="U82" s="22"/>
      <c r="V82" s="22"/>
      <c r="W82" s="22"/>
      <c r="X82" s="14"/>
      <c r="Y82" s="11">
        <v>-0.02</v>
      </c>
      <c r="Z82" s="22"/>
      <c r="AA82" s="11"/>
      <c r="AB82" s="22"/>
      <c r="AC82" s="11"/>
      <c r="AD82" s="22"/>
      <c r="AE82" s="14"/>
      <c r="AF82" s="14"/>
      <c r="AG82" s="14"/>
      <c r="AH82" s="11"/>
      <c r="AI82" s="11"/>
      <c r="AJ82" s="14"/>
      <c r="AK82" s="50"/>
    </row>
    <row r="83" spans="1:37" ht="16.5" customHeight="1" x14ac:dyDescent="0.25">
      <c r="A83" s="45" t="s">
        <v>149</v>
      </c>
      <c r="B83" s="45"/>
      <c r="C83" t="s">
        <v>48</v>
      </c>
      <c r="D83" s="10">
        <v>0.376</v>
      </c>
      <c r="E83" s="16">
        <v>13.9</v>
      </c>
      <c r="F83" s="7">
        <f>3*30</f>
        <v>90</v>
      </c>
      <c r="G83" s="7">
        <v>6</v>
      </c>
      <c r="H83" s="7" t="s">
        <v>48</v>
      </c>
      <c r="I83" s="3">
        <f>1*24</f>
        <v>24</v>
      </c>
      <c r="J83" s="23"/>
      <c r="K83" s="14"/>
      <c r="L83" s="15"/>
      <c r="M83" s="15"/>
      <c r="N83" s="15"/>
      <c r="O83" s="22"/>
      <c r="P83" s="22"/>
      <c r="Q83" s="11"/>
      <c r="R83" s="11"/>
      <c r="S83" s="22"/>
      <c r="T83" s="22"/>
      <c r="U83" s="22"/>
      <c r="V83" s="22"/>
      <c r="W83" s="22"/>
      <c r="X83" s="14"/>
      <c r="Y83" s="11">
        <v>0.04</v>
      </c>
      <c r="Z83" s="22"/>
      <c r="AA83" s="11"/>
      <c r="AB83" s="22"/>
      <c r="AC83" s="11"/>
      <c r="AD83" s="22"/>
      <c r="AE83" s="14"/>
      <c r="AF83" s="14"/>
      <c r="AG83" s="14"/>
      <c r="AH83" s="11"/>
      <c r="AI83" s="11"/>
      <c r="AJ83" s="14"/>
      <c r="AK83" s="50"/>
    </row>
    <row r="84" spans="1:37" ht="16.5" customHeight="1" x14ac:dyDescent="0.25">
      <c r="A84" s="45" t="s">
        <v>149</v>
      </c>
      <c r="B84" s="45"/>
      <c r="C84" t="s">
        <v>48</v>
      </c>
      <c r="D84" s="10">
        <v>0.376</v>
      </c>
      <c r="E84" s="16">
        <v>9.3000000000000007</v>
      </c>
      <c r="F84" s="7">
        <f>3*30</f>
        <v>90</v>
      </c>
      <c r="G84" s="7">
        <v>6</v>
      </c>
      <c r="H84" s="7" t="s">
        <v>48</v>
      </c>
      <c r="I84" s="3">
        <f>0.5*24</f>
        <v>12</v>
      </c>
      <c r="J84" s="23"/>
      <c r="K84" s="14"/>
      <c r="L84" s="15"/>
      <c r="M84" s="15"/>
      <c r="N84" s="15"/>
      <c r="O84" s="22"/>
      <c r="P84" s="22"/>
      <c r="Q84" s="11"/>
      <c r="R84" s="11"/>
      <c r="S84" s="22"/>
      <c r="T84" s="22"/>
      <c r="U84" s="22"/>
      <c r="V84" s="22"/>
      <c r="W84" s="22"/>
      <c r="X84" s="14"/>
      <c r="Y84" s="11">
        <v>0.06</v>
      </c>
      <c r="Z84" s="22"/>
      <c r="AA84" s="11"/>
      <c r="AB84" s="22"/>
      <c r="AC84" s="11"/>
      <c r="AD84" s="22"/>
      <c r="AE84" s="14"/>
      <c r="AF84" s="14"/>
      <c r="AG84" s="14"/>
      <c r="AH84" s="11"/>
      <c r="AI84" s="11"/>
      <c r="AJ84" s="14"/>
      <c r="AK84" s="50"/>
    </row>
  </sheetData>
  <mergeCells count="93">
    <mergeCell ref="A72:B72"/>
    <mergeCell ref="A73:B73"/>
    <mergeCell ref="A74:B74"/>
    <mergeCell ref="A75:B75"/>
    <mergeCell ref="A77:B77"/>
    <mergeCell ref="A76:B76"/>
    <mergeCell ref="A60:B60"/>
    <mergeCell ref="AK61:AK62"/>
    <mergeCell ref="A62:B62"/>
    <mergeCell ref="A38:B38"/>
    <mergeCell ref="A36:B36"/>
    <mergeCell ref="A48:B48"/>
    <mergeCell ref="A49:B49"/>
    <mergeCell ref="A50:B50"/>
    <mergeCell ref="A39:B39"/>
    <mergeCell ref="A40:B40"/>
    <mergeCell ref="A45:B45"/>
    <mergeCell ref="A41:B41"/>
    <mergeCell ref="A42:B42"/>
    <mergeCell ref="A43:B43"/>
    <mergeCell ref="A44:B44"/>
    <mergeCell ref="A37:B37"/>
    <mergeCell ref="A64:B64"/>
    <mergeCell ref="AK64:AK65"/>
    <mergeCell ref="A65:B65"/>
    <mergeCell ref="AK79:AK84"/>
    <mergeCell ref="A79:B79"/>
    <mergeCell ref="A80:B80"/>
    <mergeCell ref="A81:B81"/>
    <mergeCell ref="A82:B82"/>
    <mergeCell ref="A83:B83"/>
    <mergeCell ref="A84:B84"/>
    <mergeCell ref="A67:B67"/>
    <mergeCell ref="AK67:AK77"/>
    <mergeCell ref="A68:B68"/>
    <mergeCell ref="A69:B69"/>
    <mergeCell ref="A70:B70"/>
    <mergeCell ref="A71:B71"/>
    <mergeCell ref="AK56:AK58"/>
    <mergeCell ref="A57:B57"/>
    <mergeCell ref="A58:B58"/>
    <mergeCell ref="A55:B55"/>
    <mergeCell ref="A35:B35"/>
    <mergeCell ref="A53:B53"/>
    <mergeCell ref="AK38:AK40"/>
    <mergeCell ref="AK41:AK45"/>
    <mergeCell ref="AK36:AK37"/>
    <mergeCell ref="A46:B46"/>
    <mergeCell ref="A47:B47"/>
    <mergeCell ref="AK47:AK50"/>
    <mergeCell ref="A54:B54"/>
    <mergeCell ref="A56:B56"/>
    <mergeCell ref="L56:U58"/>
    <mergeCell ref="A26:B26"/>
    <mergeCell ref="A27:B27"/>
    <mergeCell ref="A33:B33"/>
    <mergeCell ref="A34:B34"/>
    <mergeCell ref="A28:B28"/>
    <mergeCell ref="A29:B29"/>
    <mergeCell ref="A8:B8"/>
    <mergeCell ref="A9:B9"/>
    <mergeCell ref="AK9:AK10"/>
    <mergeCell ref="A10:B10"/>
    <mergeCell ref="A61:B61"/>
    <mergeCell ref="A11:B11"/>
    <mergeCell ref="AK11:AK18"/>
    <mergeCell ref="A12:B12"/>
    <mergeCell ref="A13:B13"/>
    <mergeCell ref="A14:B14"/>
    <mergeCell ref="A15:B15"/>
    <mergeCell ref="A16:B16"/>
    <mergeCell ref="A17:B17"/>
    <mergeCell ref="A23:B23"/>
    <mergeCell ref="A24:B24"/>
    <mergeCell ref="A25:B25"/>
    <mergeCell ref="A2:B2"/>
    <mergeCell ref="AK2:AK4"/>
    <mergeCell ref="A3:B3"/>
    <mergeCell ref="A4:B4"/>
    <mergeCell ref="A5:B5"/>
    <mergeCell ref="AK6:AK7"/>
    <mergeCell ref="A32:B32"/>
    <mergeCell ref="A6:B6"/>
    <mergeCell ref="A7:B7"/>
    <mergeCell ref="A18:B18"/>
    <mergeCell ref="AK29:AK31"/>
    <mergeCell ref="A30:B30"/>
    <mergeCell ref="A31:B31"/>
    <mergeCell ref="A19:B19"/>
    <mergeCell ref="AK19:AK24"/>
    <mergeCell ref="A20:B20"/>
    <mergeCell ref="A21:B21"/>
    <mergeCell ref="A22:B22"/>
  </mergeCells>
  <hyperlinks>
    <hyperlink ref="AY5" r:id="rId1" xr:uid="{BD7E91BB-D40B-4F11-8863-AF7742D510C5}"/>
  </hyperlinks>
  <pageMargins left="0.7" right="0.7" top="0.75" bottom="0.75" header="0.3" footer="0.3"/>
  <pageSetup paperSize="9" orientation="portrait" horizontalDpi="4294967293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4D631-4845-4C64-A2EB-0F946E8CED1E}">
  <dimension ref="A1:DF139"/>
  <sheetViews>
    <sheetView topLeftCell="G40" zoomScale="90" zoomScaleNormal="90" workbookViewId="0">
      <selection activeCell="M138" sqref="M138"/>
    </sheetView>
  </sheetViews>
  <sheetFormatPr defaultRowHeight="14.25" x14ac:dyDescent="0.2"/>
  <sheetData>
    <row r="1" spans="1:110" ht="57" x14ac:dyDescent="0.2">
      <c r="A1" t="s">
        <v>21</v>
      </c>
      <c r="B1" t="s">
        <v>23</v>
      </c>
      <c r="C1" t="s">
        <v>24</v>
      </c>
      <c r="D1" t="s">
        <v>25</v>
      </c>
      <c r="E1" t="s">
        <v>26</v>
      </c>
      <c r="F1" t="s">
        <v>30</v>
      </c>
      <c r="G1" t="s">
        <v>34</v>
      </c>
      <c r="H1" s="4" t="s">
        <v>42</v>
      </c>
      <c r="I1" s="4" t="s">
        <v>199</v>
      </c>
      <c r="K1" t="s">
        <v>21</v>
      </c>
      <c r="L1" t="s">
        <v>25</v>
      </c>
      <c r="M1" t="s">
        <v>26</v>
      </c>
      <c r="N1" t="s">
        <v>34</v>
      </c>
      <c r="O1" s="4" t="s">
        <v>199</v>
      </c>
      <c r="R1" t="s">
        <v>21</v>
      </c>
      <c r="S1" t="s">
        <v>25</v>
      </c>
      <c r="T1" t="s">
        <v>26</v>
      </c>
      <c r="U1" t="s">
        <v>30</v>
      </c>
      <c r="AA1" t="s">
        <v>26</v>
      </c>
      <c r="AB1" t="s">
        <v>34</v>
      </c>
      <c r="AL1" t="s">
        <v>21</v>
      </c>
      <c r="AM1" t="s">
        <v>25</v>
      </c>
      <c r="AN1" t="s">
        <v>26</v>
      </c>
      <c r="AO1" t="s">
        <v>34</v>
      </c>
      <c r="AR1" t="s">
        <v>34</v>
      </c>
      <c r="AW1" t="s">
        <v>21</v>
      </c>
      <c r="AX1" t="s">
        <v>23</v>
      </c>
      <c r="AY1" t="s">
        <v>24</v>
      </c>
      <c r="AZ1" t="s">
        <v>25</v>
      </c>
      <c r="BA1" t="s">
        <v>26</v>
      </c>
      <c r="BB1" t="s">
        <v>28</v>
      </c>
      <c r="BC1" t="s">
        <v>33</v>
      </c>
      <c r="BD1" t="s">
        <v>34</v>
      </c>
      <c r="BH1" t="s">
        <v>28</v>
      </c>
      <c r="BI1" t="s">
        <v>21</v>
      </c>
      <c r="BJ1" t="s">
        <v>25</v>
      </c>
      <c r="BK1" t="s">
        <v>33</v>
      </c>
      <c r="BW1" t="s">
        <v>21</v>
      </c>
      <c r="BX1" t="s">
        <v>25</v>
      </c>
      <c r="BY1" t="s">
        <v>26</v>
      </c>
      <c r="BZ1" t="s">
        <v>27</v>
      </c>
      <c r="CA1" t="s">
        <v>29</v>
      </c>
      <c r="CB1" t="s">
        <v>30</v>
      </c>
      <c r="CE1" t="s">
        <v>27</v>
      </c>
      <c r="CF1" t="s">
        <v>21</v>
      </c>
      <c r="CG1" t="s">
        <v>25</v>
      </c>
      <c r="CH1" t="s">
        <v>29</v>
      </c>
      <c r="CY1" t="s">
        <v>23</v>
      </c>
      <c r="CZ1" t="s">
        <v>30</v>
      </c>
      <c r="DB1" s="4"/>
      <c r="DE1" t="s">
        <v>23</v>
      </c>
      <c r="DF1" t="s">
        <v>34</v>
      </c>
    </row>
    <row r="2" spans="1:110" ht="15" x14ac:dyDescent="0.25">
      <c r="A2">
        <v>27.8</v>
      </c>
      <c r="B2" s="3">
        <v>2</v>
      </c>
      <c r="C2" s="10">
        <v>1.6289437585733882E-2</v>
      </c>
      <c r="D2" s="3">
        <v>72</v>
      </c>
      <c r="E2">
        <v>0.32100000000000001</v>
      </c>
      <c r="F2">
        <v>76</v>
      </c>
      <c r="G2">
        <v>74</v>
      </c>
      <c r="H2">
        <v>8.0999999999999996E-3</v>
      </c>
      <c r="I2">
        <v>7.6902860206767683</v>
      </c>
      <c r="K2">
        <v>9</v>
      </c>
      <c r="L2">
        <v>72</v>
      </c>
      <c r="M2" s="8">
        <v>8.613333333333334E-2</v>
      </c>
      <c r="N2">
        <v>51</v>
      </c>
      <c r="O2">
        <v>13.183347464017316</v>
      </c>
      <c r="R2" s="16">
        <v>10.5</v>
      </c>
      <c r="S2" s="3">
        <v>55.2</v>
      </c>
      <c r="T2" s="8"/>
      <c r="U2" s="9">
        <v>67.148014440433215</v>
      </c>
      <c r="AA2" s="8">
        <v>4.306666666666667E-2</v>
      </c>
      <c r="AB2">
        <v>62</v>
      </c>
      <c r="AL2">
        <v>9</v>
      </c>
      <c r="AM2">
        <v>144</v>
      </c>
      <c r="AN2" s="8">
        <v>4.306666666666667E-2</v>
      </c>
      <c r="AO2">
        <v>62</v>
      </c>
      <c r="AQ2">
        <f>AL2*AM2*AN2</f>
        <v>55.814400000000006</v>
      </c>
      <c r="AR2">
        <v>62</v>
      </c>
      <c r="AW2">
        <v>27.8</v>
      </c>
      <c r="AX2" s="3">
        <v>2</v>
      </c>
      <c r="AY2" s="10">
        <v>1.6289437585733882E-2</v>
      </c>
      <c r="AZ2" s="3">
        <v>72</v>
      </c>
      <c r="BA2">
        <v>0.32100000000000001</v>
      </c>
      <c r="BB2">
        <v>960</v>
      </c>
      <c r="BC2">
        <v>248</v>
      </c>
      <c r="BD2">
        <v>74</v>
      </c>
      <c r="BH2">
        <v>960</v>
      </c>
      <c r="BI2">
        <v>27.8</v>
      </c>
      <c r="BJ2" s="3">
        <v>72</v>
      </c>
      <c r="BK2">
        <v>248</v>
      </c>
      <c r="BW2">
        <v>27.8</v>
      </c>
      <c r="BX2" s="3">
        <v>72</v>
      </c>
      <c r="BY2">
        <v>0.32100000000000001</v>
      </c>
      <c r="BZ2" s="6">
        <v>295</v>
      </c>
      <c r="CA2" s="6">
        <v>71</v>
      </c>
      <c r="CB2">
        <v>76</v>
      </c>
      <c r="CC2">
        <f>BZ2-BZ2*(CB2/100)</f>
        <v>70.800000000000011</v>
      </c>
      <c r="CE2" s="6">
        <v>295</v>
      </c>
      <c r="CF2">
        <v>27.8</v>
      </c>
      <c r="CG2" s="3">
        <v>72</v>
      </c>
      <c r="CH2" s="6">
        <v>71</v>
      </c>
      <c r="CY2" s="3">
        <v>2</v>
      </c>
      <c r="CZ2">
        <v>68</v>
      </c>
      <c r="DB2" s="46"/>
      <c r="DE2" s="3">
        <v>2</v>
      </c>
      <c r="DF2">
        <v>57</v>
      </c>
    </row>
    <row r="3" spans="1:110" ht="15" x14ac:dyDescent="0.25">
      <c r="A3">
        <v>24.1</v>
      </c>
      <c r="B3" s="3">
        <v>2</v>
      </c>
      <c r="C3" s="10">
        <v>2.4434156378600823E-2</v>
      </c>
      <c r="D3" s="3">
        <v>48</v>
      </c>
      <c r="E3">
        <v>0.436</v>
      </c>
      <c r="F3">
        <v>72</v>
      </c>
      <c r="G3">
        <v>64</v>
      </c>
      <c r="H3">
        <v>4.4999999999999997E-3</v>
      </c>
      <c r="I3">
        <v>7.6902860206767683</v>
      </c>
      <c r="K3">
        <v>9</v>
      </c>
      <c r="L3">
        <v>96</v>
      </c>
      <c r="M3" s="8">
        <v>6.4599999999999991E-2</v>
      </c>
      <c r="N3">
        <v>55</v>
      </c>
      <c r="O3">
        <v>13.183347464017316</v>
      </c>
      <c r="R3" s="16">
        <v>10.5</v>
      </c>
      <c r="S3" s="3">
        <v>55.2</v>
      </c>
      <c r="T3" s="8"/>
      <c r="U3" s="9">
        <v>71.119133574007222</v>
      </c>
      <c r="AA3" s="8">
        <v>5.167999999999999E-2</v>
      </c>
      <c r="AB3">
        <v>61</v>
      </c>
      <c r="AL3">
        <v>9</v>
      </c>
      <c r="AM3">
        <v>120</v>
      </c>
      <c r="AN3" s="8">
        <v>5.167999999999999E-2</v>
      </c>
      <c r="AO3">
        <v>61</v>
      </c>
      <c r="AQ3">
        <f t="shared" ref="AQ3:AQ47" si="0">AL3*AM3*AN3</f>
        <v>55.814399999999992</v>
      </c>
      <c r="AR3">
        <v>61</v>
      </c>
      <c r="AW3">
        <v>24.1</v>
      </c>
      <c r="AX3" s="3">
        <v>2</v>
      </c>
      <c r="AY3" s="10">
        <v>2.4434156378600823E-2</v>
      </c>
      <c r="AZ3" s="3">
        <v>48</v>
      </c>
      <c r="BA3">
        <v>0.436</v>
      </c>
      <c r="BB3">
        <v>960</v>
      </c>
      <c r="BC3">
        <v>314</v>
      </c>
      <c r="BD3">
        <v>64</v>
      </c>
      <c r="BH3">
        <v>960</v>
      </c>
      <c r="BI3">
        <v>24.1</v>
      </c>
      <c r="BJ3" s="3">
        <v>48</v>
      </c>
      <c r="BK3">
        <v>314</v>
      </c>
      <c r="BW3">
        <v>24.1</v>
      </c>
      <c r="BX3" s="3">
        <v>48</v>
      </c>
      <c r="BY3">
        <v>0.436</v>
      </c>
      <c r="BZ3" s="6">
        <v>295</v>
      </c>
      <c r="CA3" s="6">
        <v>77</v>
      </c>
      <c r="CB3">
        <v>72</v>
      </c>
      <c r="CC3">
        <f t="shared" ref="CC3:CC30" si="1">BZ3-BZ3*(CB3/100)</f>
        <v>82.6</v>
      </c>
      <c r="CE3" s="6">
        <v>295</v>
      </c>
      <c r="CF3">
        <v>24.1</v>
      </c>
      <c r="CG3" s="3">
        <v>48</v>
      </c>
      <c r="CH3" s="6">
        <v>77</v>
      </c>
      <c r="CY3" s="3">
        <v>2</v>
      </c>
      <c r="CZ3">
        <v>72</v>
      </c>
      <c r="DB3" s="46"/>
      <c r="DE3" s="3">
        <v>2</v>
      </c>
      <c r="DF3">
        <v>64</v>
      </c>
    </row>
    <row r="4" spans="1:110" ht="15" x14ac:dyDescent="0.25">
      <c r="A4">
        <v>27.2</v>
      </c>
      <c r="B4" s="3">
        <v>2</v>
      </c>
      <c r="C4" s="10">
        <v>4.8868312757201646E-2</v>
      </c>
      <c r="D4" s="3">
        <v>24</v>
      </c>
      <c r="E4">
        <v>0.88500000000000001</v>
      </c>
      <c r="F4">
        <v>68</v>
      </c>
      <c r="G4">
        <v>57</v>
      </c>
      <c r="H4">
        <v>2.5000000000000001E-3</v>
      </c>
      <c r="I4">
        <v>7.6902860206767683</v>
      </c>
      <c r="K4">
        <v>9</v>
      </c>
      <c r="L4">
        <v>120</v>
      </c>
      <c r="M4" s="8">
        <v>5.167999999999999E-2</v>
      </c>
      <c r="N4">
        <v>61</v>
      </c>
      <c r="O4">
        <v>13.183347464017316</v>
      </c>
      <c r="R4" s="3">
        <v>14.6</v>
      </c>
      <c r="S4" s="3">
        <v>28</v>
      </c>
      <c r="T4" s="8">
        <v>0.33200000000000002</v>
      </c>
      <c r="U4" s="7">
        <v>41.7</v>
      </c>
      <c r="AA4" s="8">
        <v>5.167999999999999E-2</v>
      </c>
      <c r="AB4">
        <v>68</v>
      </c>
      <c r="AL4">
        <v>20</v>
      </c>
      <c r="AM4">
        <v>120</v>
      </c>
      <c r="AN4" s="8">
        <v>5.167999999999999E-2</v>
      </c>
      <c r="AO4">
        <v>68</v>
      </c>
      <c r="AQ4">
        <f>AL4*AM4*AN4</f>
        <v>124.03199999999998</v>
      </c>
      <c r="AR4">
        <v>68</v>
      </c>
      <c r="AW4">
        <v>27.2</v>
      </c>
      <c r="AX4" s="3">
        <v>2</v>
      </c>
      <c r="AY4" s="10">
        <v>4.8868312757201646E-2</v>
      </c>
      <c r="AZ4" s="3">
        <v>24</v>
      </c>
      <c r="BA4">
        <v>0.88500000000000001</v>
      </c>
      <c r="BB4">
        <v>960</v>
      </c>
      <c r="BC4">
        <v>380</v>
      </c>
      <c r="BD4">
        <v>57</v>
      </c>
      <c r="BH4">
        <v>960</v>
      </c>
      <c r="BI4">
        <v>27.2</v>
      </c>
      <c r="BJ4" s="3">
        <v>24</v>
      </c>
      <c r="BK4">
        <v>380</v>
      </c>
      <c r="BW4">
        <v>27.2</v>
      </c>
      <c r="BX4" s="3">
        <v>24</v>
      </c>
      <c r="BY4">
        <v>0.88500000000000001</v>
      </c>
      <c r="BZ4" s="6">
        <v>295</v>
      </c>
      <c r="CA4" s="6">
        <v>87</v>
      </c>
      <c r="CB4">
        <v>68</v>
      </c>
      <c r="CC4">
        <f t="shared" si="1"/>
        <v>94.399999999999977</v>
      </c>
      <c r="CE4" s="6">
        <v>295</v>
      </c>
      <c r="CF4">
        <v>27.2</v>
      </c>
      <c r="CG4" s="3">
        <v>24</v>
      </c>
      <c r="CH4" s="6">
        <v>87</v>
      </c>
      <c r="CY4" s="3">
        <v>2</v>
      </c>
      <c r="CZ4">
        <v>76</v>
      </c>
      <c r="DA4" s="7"/>
      <c r="DB4" s="46"/>
      <c r="DE4" s="3">
        <v>2</v>
      </c>
      <c r="DF4">
        <v>74</v>
      </c>
    </row>
    <row r="5" spans="1:110" ht="15" x14ac:dyDescent="0.25">
      <c r="A5" s="4">
        <v>19</v>
      </c>
      <c r="B5" s="4"/>
      <c r="C5" s="4"/>
      <c r="D5" s="3">
        <v>24</v>
      </c>
      <c r="E5" s="8">
        <v>0.41100000000000003</v>
      </c>
      <c r="F5" s="6">
        <v>84</v>
      </c>
      <c r="G5" s="6">
        <v>76</v>
      </c>
      <c r="H5" s="3" t="s">
        <v>48</v>
      </c>
      <c r="I5" s="3">
        <v>10.986122886681098</v>
      </c>
      <c r="K5">
        <v>9</v>
      </c>
      <c r="L5">
        <v>144</v>
      </c>
      <c r="M5" s="8">
        <v>4.306666666666667E-2</v>
      </c>
      <c r="N5">
        <v>62</v>
      </c>
      <c r="O5">
        <v>13.183347464017316</v>
      </c>
      <c r="R5" s="3">
        <v>15</v>
      </c>
      <c r="S5">
        <v>12</v>
      </c>
      <c r="T5" s="8">
        <v>0.75199999999999989</v>
      </c>
      <c r="U5">
        <v>40</v>
      </c>
      <c r="AA5" s="8">
        <v>6.4599999999999991E-2</v>
      </c>
      <c r="AB5">
        <v>55</v>
      </c>
      <c r="AL5">
        <v>9</v>
      </c>
      <c r="AM5">
        <v>96</v>
      </c>
      <c r="AN5" s="8">
        <v>6.4599999999999991E-2</v>
      </c>
      <c r="AO5">
        <v>55</v>
      </c>
      <c r="AQ5">
        <f t="shared" si="0"/>
        <v>55.814399999999992</v>
      </c>
      <c r="AR5">
        <v>55</v>
      </c>
      <c r="AW5" s="4">
        <v>19</v>
      </c>
      <c r="AX5" s="4"/>
      <c r="AY5" s="4"/>
      <c r="AZ5" s="3">
        <v>24</v>
      </c>
      <c r="BA5" s="8">
        <v>0.41100000000000003</v>
      </c>
      <c r="BB5" s="8">
        <v>411</v>
      </c>
      <c r="BC5">
        <v>98.639999999999986</v>
      </c>
      <c r="BD5" s="6">
        <v>76</v>
      </c>
      <c r="BH5" s="8">
        <v>411</v>
      </c>
      <c r="BI5" s="4">
        <v>19</v>
      </c>
      <c r="BJ5" s="3">
        <v>24</v>
      </c>
      <c r="BK5">
        <v>98.639999999999986</v>
      </c>
      <c r="BW5" s="4">
        <v>19</v>
      </c>
      <c r="BX5" s="3">
        <v>24</v>
      </c>
      <c r="BY5" s="8">
        <v>0.41100000000000003</v>
      </c>
      <c r="BZ5" s="6">
        <v>329</v>
      </c>
      <c r="CA5" s="6">
        <v>52.639999999999986</v>
      </c>
      <c r="CB5" s="6">
        <v>84</v>
      </c>
      <c r="CC5">
        <f t="shared" si="1"/>
        <v>52.639999999999986</v>
      </c>
      <c r="CE5" s="6">
        <v>329</v>
      </c>
      <c r="CF5" s="4">
        <v>19</v>
      </c>
      <c r="CG5" s="3">
        <v>24</v>
      </c>
      <c r="CH5" s="6">
        <v>52.639999999999986</v>
      </c>
      <c r="CY5" s="7">
        <v>2</v>
      </c>
      <c r="CZ5" s="7">
        <v>90</v>
      </c>
      <c r="DA5" s="9"/>
      <c r="DB5" s="4"/>
      <c r="DE5" s="7">
        <v>2</v>
      </c>
      <c r="DF5" s="7">
        <v>88.6</v>
      </c>
    </row>
    <row r="6" spans="1:110" ht="15" x14ac:dyDescent="0.25">
      <c r="A6">
        <v>16.5</v>
      </c>
      <c r="B6" s="3">
        <v>2</v>
      </c>
      <c r="C6" t="s">
        <v>48</v>
      </c>
      <c r="D6">
        <v>73.599999999999994</v>
      </c>
      <c r="E6" s="19">
        <v>0.18</v>
      </c>
      <c r="F6" s="9">
        <v>76.7</v>
      </c>
      <c r="G6" s="9">
        <v>52.4</v>
      </c>
      <c r="H6">
        <v>3.1899999999999998E-2</v>
      </c>
      <c r="I6">
        <v>6.5916737320086582</v>
      </c>
      <c r="K6" s="16">
        <v>10.5</v>
      </c>
      <c r="L6" s="3">
        <v>55.2</v>
      </c>
      <c r="M6" s="8"/>
      <c r="N6" s="9">
        <v>47.006651884700666</v>
      </c>
      <c r="O6">
        <v>5.4930614433405491</v>
      </c>
      <c r="R6" s="3">
        <v>15</v>
      </c>
      <c r="S6">
        <v>12</v>
      </c>
      <c r="T6" s="8">
        <v>0.74999999999999989</v>
      </c>
      <c r="U6">
        <v>40</v>
      </c>
      <c r="AA6" s="8">
        <v>6.4599999999999991E-2</v>
      </c>
      <c r="AB6">
        <v>67</v>
      </c>
      <c r="AL6">
        <v>20</v>
      </c>
      <c r="AM6">
        <v>96</v>
      </c>
      <c r="AN6" s="8">
        <v>6.4599999999999991E-2</v>
      </c>
      <c r="AO6">
        <v>67</v>
      </c>
      <c r="AQ6">
        <f t="shared" si="0"/>
        <v>124.03199999999998</v>
      </c>
      <c r="AR6">
        <v>67</v>
      </c>
      <c r="AW6">
        <v>16.5</v>
      </c>
      <c r="AX6" s="3">
        <v>2</v>
      </c>
      <c r="AY6" t="s">
        <v>48</v>
      </c>
      <c r="AZ6">
        <v>73.599999999999994</v>
      </c>
      <c r="BA6" s="19">
        <v>0.18</v>
      </c>
      <c r="BB6" s="19">
        <v>317.95199999999994</v>
      </c>
      <c r="BC6">
        <v>151.34515199999996</v>
      </c>
      <c r="BD6" s="9">
        <v>52.4</v>
      </c>
      <c r="BH6" s="19">
        <v>317.95199999999994</v>
      </c>
      <c r="BI6">
        <v>16.5</v>
      </c>
      <c r="BJ6">
        <v>73.599999999999994</v>
      </c>
      <c r="BK6">
        <v>151.34515199999996</v>
      </c>
      <c r="BW6">
        <v>16.5</v>
      </c>
      <c r="BX6">
        <v>73.599999999999994</v>
      </c>
      <c r="BY6" s="19">
        <v>0.18</v>
      </c>
      <c r="BZ6">
        <v>277</v>
      </c>
      <c r="CA6" s="6">
        <v>64.540999999999997</v>
      </c>
      <c r="CB6" s="9">
        <v>76.7</v>
      </c>
      <c r="CC6">
        <f t="shared" si="1"/>
        <v>64.540999999999997</v>
      </c>
      <c r="CE6">
        <v>277</v>
      </c>
      <c r="CF6">
        <v>16.5</v>
      </c>
      <c r="CG6">
        <v>73.599999999999994</v>
      </c>
      <c r="CH6" s="6">
        <v>64.540999999999997</v>
      </c>
      <c r="CY6" s="7">
        <v>2</v>
      </c>
      <c r="CZ6" s="7">
        <v>91.2</v>
      </c>
      <c r="DE6" s="7">
        <v>2</v>
      </c>
      <c r="DF6" s="7">
        <v>90</v>
      </c>
    </row>
    <row r="7" spans="1:110" ht="15" x14ac:dyDescent="0.25">
      <c r="A7">
        <v>15.7</v>
      </c>
      <c r="B7" s="3">
        <v>14</v>
      </c>
      <c r="C7" t="s">
        <v>48</v>
      </c>
      <c r="D7" s="3">
        <v>26</v>
      </c>
      <c r="E7" s="19"/>
      <c r="F7" s="9">
        <v>42.016806722689076</v>
      </c>
      <c r="G7" s="9">
        <v>22.600619195046441</v>
      </c>
      <c r="H7" s="3" t="s">
        <v>48</v>
      </c>
      <c r="I7" s="3">
        <v>18.676408907357867</v>
      </c>
      <c r="K7" s="16">
        <v>10.5</v>
      </c>
      <c r="L7" s="3">
        <v>55.2</v>
      </c>
      <c r="M7" s="8"/>
      <c r="N7" s="9">
        <v>45.676274944567631</v>
      </c>
      <c r="O7">
        <v>9.8875105980129874</v>
      </c>
      <c r="R7" s="3">
        <v>15</v>
      </c>
      <c r="S7">
        <v>24</v>
      </c>
      <c r="T7" s="8">
        <v>0.37599999999999995</v>
      </c>
      <c r="U7">
        <v>50</v>
      </c>
      <c r="AA7" s="8">
        <v>8.613333333333334E-2</v>
      </c>
      <c r="AB7">
        <v>51</v>
      </c>
      <c r="AL7">
        <v>9</v>
      </c>
      <c r="AM7">
        <v>72</v>
      </c>
      <c r="AN7" s="8">
        <v>8.613333333333334E-2</v>
      </c>
      <c r="AO7">
        <v>51</v>
      </c>
      <c r="AQ7">
        <f t="shared" si="0"/>
        <v>55.814400000000006</v>
      </c>
      <c r="AR7">
        <v>51</v>
      </c>
      <c r="AW7">
        <v>15.7</v>
      </c>
      <c r="AX7" s="3">
        <v>14</v>
      </c>
      <c r="AY7" t="s">
        <v>48</v>
      </c>
      <c r="AZ7" s="3">
        <v>26</v>
      </c>
      <c r="BA7" s="19"/>
      <c r="BB7" s="19">
        <v>323</v>
      </c>
      <c r="BC7">
        <v>250</v>
      </c>
      <c r="BD7" s="9">
        <v>22.600619195046441</v>
      </c>
      <c r="BH7" s="19">
        <v>323</v>
      </c>
      <c r="BI7">
        <v>15.7</v>
      </c>
      <c r="BJ7" s="3">
        <v>26</v>
      </c>
      <c r="BK7">
        <v>250</v>
      </c>
      <c r="BW7">
        <v>15.7</v>
      </c>
      <c r="BX7" s="3">
        <v>26</v>
      </c>
      <c r="BY7" s="19"/>
      <c r="BZ7" s="6">
        <v>119</v>
      </c>
      <c r="CA7" s="6">
        <v>69</v>
      </c>
      <c r="CB7" s="9">
        <v>42.016806722689076</v>
      </c>
      <c r="CC7">
        <f t="shared" si="1"/>
        <v>69</v>
      </c>
      <c r="CE7" s="6">
        <v>119</v>
      </c>
      <c r="CF7">
        <v>15.7</v>
      </c>
      <c r="CG7" s="3">
        <v>26</v>
      </c>
      <c r="CH7" s="6">
        <v>69</v>
      </c>
      <c r="CY7" s="7">
        <v>4</v>
      </c>
      <c r="CZ7" s="7">
        <v>89</v>
      </c>
      <c r="DB7" s="44"/>
      <c r="DE7" s="7">
        <v>4</v>
      </c>
      <c r="DF7" s="7">
        <v>84</v>
      </c>
    </row>
    <row r="8" spans="1:110" ht="15" x14ac:dyDescent="0.25">
      <c r="A8" s="3">
        <v>14.6</v>
      </c>
      <c r="B8" s="3">
        <v>14</v>
      </c>
      <c r="C8" t="s">
        <v>48</v>
      </c>
      <c r="D8" s="3">
        <v>28</v>
      </c>
      <c r="E8" s="8">
        <v>0.33200000000000002</v>
      </c>
      <c r="F8" s="7">
        <v>41.7</v>
      </c>
      <c r="G8" s="7">
        <v>24.8</v>
      </c>
      <c r="H8" s="3">
        <v>8.3999999999999995E-3</v>
      </c>
      <c r="I8" s="3">
        <v>18.676408907357867</v>
      </c>
      <c r="K8" s="29">
        <v>13.5</v>
      </c>
      <c r="L8" s="3">
        <v>17.8</v>
      </c>
      <c r="M8" s="8">
        <v>0.38</v>
      </c>
      <c r="N8" s="7">
        <v>84</v>
      </c>
      <c r="O8" t="s">
        <v>48</v>
      </c>
      <c r="R8" s="3">
        <v>15</v>
      </c>
      <c r="S8">
        <v>24</v>
      </c>
      <c r="T8" s="8">
        <v>0.378</v>
      </c>
      <c r="U8">
        <v>56</v>
      </c>
      <c r="AA8" s="8">
        <v>8.613333333333334E-2</v>
      </c>
      <c r="AB8">
        <v>64</v>
      </c>
      <c r="AL8">
        <v>20</v>
      </c>
      <c r="AM8">
        <v>72</v>
      </c>
      <c r="AN8" s="8">
        <v>8.613333333333334E-2</v>
      </c>
      <c r="AO8">
        <v>64</v>
      </c>
      <c r="AQ8">
        <f t="shared" si="0"/>
        <v>124.03200000000001</v>
      </c>
      <c r="AR8">
        <v>64</v>
      </c>
      <c r="AW8" s="3">
        <v>14.6</v>
      </c>
      <c r="AX8" s="3">
        <v>14</v>
      </c>
      <c r="AY8" t="s">
        <v>48</v>
      </c>
      <c r="AZ8" s="3">
        <v>28</v>
      </c>
      <c r="BA8" s="8">
        <v>0.33200000000000002</v>
      </c>
      <c r="BB8" s="8">
        <v>407</v>
      </c>
      <c r="BC8" s="3">
        <v>306</v>
      </c>
      <c r="BD8" s="7">
        <v>24.8</v>
      </c>
      <c r="BH8" s="8">
        <v>407</v>
      </c>
      <c r="BI8" s="3">
        <v>14.6</v>
      </c>
      <c r="BJ8" s="3">
        <v>28</v>
      </c>
      <c r="BK8" s="3">
        <v>306</v>
      </c>
      <c r="BW8" s="3">
        <v>14.6</v>
      </c>
      <c r="BX8" s="3">
        <v>28</v>
      </c>
      <c r="BY8" s="8">
        <v>0.33200000000000002</v>
      </c>
      <c r="BZ8" s="3">
        <v>139</v>
      </c>
      <c r="CA8" s="13">
        <v>81</v>
      </c>
      <c r="CB8" s="7">
        <v>41.7</v>
      </c>
      <c r="CC8">
        <f t="shared" si="1"/>
        <v>81.036999999999992</v>
      </c>
      <c r="CE8" s="3">
        <v>139</v>
      </c>
      <c r="CF8" s="3">
        <v>14.6</v>
      </c>
      <c r="CG8" s="3">
        <v>28</v>
      </c>
      <c r="CH8" s="13">
        <v>81</v>
      </c>
      <c r="CY8" s="3">
        <v>5</v>
      </c>
      <c r="CZ8" s="7">
        <v>84.5</v>
      </c>
      <c r="DB8" s="44"/>
      <c r="DE8" s="3">
        <v>5</v>
      </c>
      <c r="DF8" s="7">
        <v>54.104477611940297</v>
      </c>
    </row>
    <row r="9" spans="1:110" ht="15" x14ac:dyDescent="0.25">
      <c r="A9">
        <v>18</v>
      </c>
      <c r="B9">
        <v>8</v>
      </c>
      <c r="C9" s="19">
        <v>0.34474668301021311</v>
      </c>
      <c r="D9">
        <v>12</v>
      </c>
      <c r="E9">
        <v>1.3</v>
      </c>
      <c r="F9" s="9">
        <v>83</v>
      </c>
      <c r="G9" s="9">
        <v>43</v>
      </c>
      <c r="H9" t="s">
        <v>48</v>
      </c>
      <c r="I9">
        <v>12.084735175349207</v>
      </c>
      <c r="K9" s="3">
        <v>14.6</v>
      </c>
      <c r="L9" s="3">
        <v>28</v>
      </c>
      <c r="M9" s="8">
        <v>0.33200000000000002</v>
      </c>
      <c r="N9" s="7">
        <v>24.8</v>
      </c>
      <c r="O9">
        <v>18.676408907357867</v>
      </c>
      <c r="R9" s="3">
        <v>15</v>
      </c>
      <c r="S9">
        <v>48</v>
      </c>
      <c r="T9" s="8">
        <v>0.18749999999999997</v>
      </c>
      <c r="U9">
        <v>54</v>
      </c>
      <c r="AA9" s="8">
        <v>0.12919999999999998</v>
      </c>
      <c r="AB9">
        <v>59</v>
      </c>
      <c r="AL9">
        <v>20</v>
      </c>
      <c r="AM9">
        <v>48</v>
      </c>
      <c r="AN9" s="8">
        <v>0.12919999999999998</v>
      </c>
      <c r="AO9">
        <v>59</v>
      </c>
      <c r="AQ9">
        <f t="shared" si="0"/>
        <v>124.03199999999998</v>
      </c>
      <c r="AR9">
        <v>59</v>
      </c>
      <c r="AW9">
        <v>18</v>
      </c>
      <c r="AX9">
        <v>8</v>
      </c>
      <c r="AY9" s="19">
        <v>0.34474668301021311</v>
      </c>
      <c r="AZ9">
        <v>12</v>
      </c>
      <c r="BA9">
        <v>1.3</v>
      </c>
      <c r="BB9">
        <v>760</v>
      </c>
      <c r="BC9">
        <v>433.2</v>
      </c>
      <c r="BD9" s="9">
        <v>43</v>
      </c>
      <c r="BH9">
        <v>760</v>
      </c>
      <c r="BI9">
        <v>18</v>
      </c>
      <c r="BJ9">
        <v>12</v>
      </c>
      <c r="BK9">
        <v>433.2</v>
      </c>
      <c r="BW9">
        <v>18</v>
      </c>
      <c r="BX9">
        <v>12</v>
      </c>
      <c r="BY9">
        <v>1.3</v>
      </c>
      <c r="BZ9">
        <v>510</v>
      </c>
      <c r="CA9" s="6">
        <v>86.700000000000045</v>
      </c>
      <c r="CB9" s="9">
        <v>83</v>
      </c>
      <c r="CC9">
        <f t="shared" si="1"/>
        <v>86.700000000000045</v>
      </c>
      <c r="CE9">
        <v>510</v>
      </c>
      <c r="CF9">
        <v>18</v>
      </c>
      <c r="CG9">
        <v>12</v>
      </c>
      <c r="CH9" s="6">
        <v>86.700000000000045</v>
      </c>
      <c r="CY9" s="3">
        <v>5</v>
      </c>
      <c r="CZ9" s="7">
        <v>85.7</v>
      </c>
      <c r="DE9" s="3">
        <v>5</v>
      </c>
      <c r="DF9" s="7">
        <v>56.000000000000007</v>
      </c>
    </row>
    <row r="10" spans="1:110" ht="15" x14ac:dyDescent="0.25">
      <c r="A10" s="3">
        <v>16.600000000000001</v>
      </c>
      <c r="B10" s="3">
        <v>5</v>
      </c>
      <c r="C10" s="3">
        <v>1.0999999999999999E-2</v>
      </c>
      <c r="D10" s="3">
        <v>72</v>
      </c>
      <c r="E10" s="8">
        <v>0.24666666666666673</v>
      </c>
      <c r="F10" s="7">
        <v>84.5</v>
      </c>
      <c r="G10" s="7">
        <v>69.599999999999994</v>
      </c>
      <c r="H10" t="s">
        <v>48</v>
      </c>
      <c r="I10">
        <v>8.7888983093448783</v>
      </c>
      <c r="K10" s="3">
        <v>15</v>
      </c>
      <c r="L10">
        <v>12</v>
      </c>
      <c r="M10" s="8">
        <v>0.75199999999999989</v>
      </c>
      <c r="N10">
        <v>48</v>
      </c>
      <c r="O10">
        <v>12.084735175349207</v>
      </c>
      <c r="R10" s="3">
        <v>15</v>
      </c>
      <c r="S10">
        <v>48</v>
      </c>
      <c r="T10" s="8">
        <v>0.18749999999999997</v>
      </c>
      <c r="U10">
        <v>62</v>
      </c>
      <c r="AA10" s="19">
        <v>0.18</v>
      </c>
      <c r="AB10" s="9">
        <v>52.4</v>
      </c>
      <c r="AL10">
        <v>16.5</v>
      </c>
      <c r="AM10">
        <v>73.599999999999994</v>
      </c>
      <c r="AN10" s="19">
        <v>0.18</v>
      </c>
      <c r="AO10" s="9">
        <v>52.4</v>
      </c>
      <c r="AQ10">
        <f t="shared" si="0"/>
        <v>218.59199999999996</v>
      </c>
      <c r="AR10" s="9">
        <v>52.4</v>
      </c>
      <c r="AW10" s="3">
        <v>16.600000000000001</v>
      </c>
      <c r="AX10" s="3">
        <v>5</v>
      </c>
      <c r="AY10" s="3">
        <v>1.0999999999999999E-2</v>
      </c>
      <c r="AZ10" s="3">
        <v>72</v>
      </c>
      <c r="BA10" s="8">
        <v>0.24666666666666673</v>
      </c>
      <c r="BB10" s="8">
        <v>740</v>
      </c>
      <c r="BC10" s="3">
        <v>224.96000000000004</v>
      </c>
      <c r="BD10" s="7">
        <v>69.599999999999994</v>
      </c>
      <c r="BH10" s="8">
        <v>740</v>
      </c>
      <c r="BI10" s="3">
        <v>16.600000000000001</v>
      </c>
      <c r="BJ10" s="3">
        <v>72</v>
      </c>
      <c r="BK10" s="3">
        <v>224.96000000000004</v>
      </c>
      <c r="BW10" s="3">
        <v>16.600000000000001</v>
      </c>
      <c r="BX10" s="3">
        <v>72</v>
      </c>
      <c r="BY10" s="8">
        <v>0.24666666666666673</v>
      </c>
      <c r="BZ10" s="6">
        <v>310</v>
      </c>
      <c r="CA10" s="6">
        <v>48.050000000000011</v>
      </c>
      <c r="CB10" s="7">
        <v>84.5</v>
      </c>
      <c r="CC10">
        <f t="shared" si="1"/>
        <v>48.050000000000011</v>
      </c>
      <c r="CE10" s="6">
        <v>310</v>
      </c>
      <c r="CF10" s="3">
        <v>16.600000000000001</v>
      </c>
      <c r="CG10" s="3">
        <v>72</v>
      </c>
      <c r="CH10" s="6">
        <v>48.050000000000011</v>
      </c>
      <c r="CY10" s="7">
        <v>6</v>
      </c>
      <c r="CZ10" s="9">
        <v>67.148014440433215</v>
      </c>
      <c r="DA10" s="9"/>
      <c r="DB10" s="44"/>
      <c r="DE10" s="3">
        <v>5</v>
      </c>
      <c r="DF10" s="7">
        <v>58.536585365853654</v>
      </c>
    </row>
    <row r="11" spans="1:110" ht="15" x14ac:dyDescent="0.25">
      <c r="A11" s="3">
        <v>16.600000000000001</v>
      </c>
      <c r="B11" s="3">
        <v>5</v>
      </c>
      <c r="C11" s="3">
        <v>1.6E-2</v>
      </c>
      <c r="D11" s="3">
        <v>48</v>
      </c>
      <c r="E11" s="8">
        <v>0.46195000000000003</v>
      </c>
      <c r="F11" s="7">
        <v>85.7</v>
      </c>
      <c r="G11" s="7">
        <v>70.099999999999994</v>
      </c>
      <c r="H11" t="s">
        <v>48</v>
      </c>
      <c r="I11">
        <v>8.7888983093448783</v>
      </c>
      <c r="K11" s="3">
        <v>15</v>
      </c>
      <c r="L11">
        <v>12</v>
      </c>
      <c r="M11" s="8">
        <v>0.74999999999999989</v>
      </c>
      <c r="N11">
        <v>50</v>
      </c>
      <c r="O11">
        <v>12.084735175349207</v>
      </c>
      <c r="R11">
        <v>15.7</v>
      </c>
      <c r="S11" s="3">
        <v>26</v>
      </c>
      <c r="T11" s="19"/>
      <c r="U11" s="9">
        <v>42.016806722689076</v>
      </c>
      <c r="AA11" s="8">
        <v>0.18749999999999997</v>
      </c>
      <c r="AB11">
        <v>56</v>
      </c>
      <c r="AL11" s="3">
        <v>15</v>
      </c>
      <c r="AM11">
        <v>48</v>
      </c>
      <c r="AN11" s="8">
        <v>0.18749999999999997</v>
      </c>
      <c r="AO11">
        <v>56</v>
      </c>
      <c r="AQ11">
        <f t="shared" si="0"/>
        <v>134.99999999999997</v>
      </c>
      <c r="AR11">
        <v>56</v>
      </c>
      <c r="AW11" s="3">
        <v>16.600000000000001</v>
      </c>
      <c r="AX11" s="3">
        <v>5</v>
      </c>
      <c r="AY11" s="3">
        <v>1.6E-2</v>
      </c>
      <c r="AZ11" s="3">
        <v>48</v>
      </c>
      <c r="BA11" s="8">
        <v>0.46195000000000003</v>
      </c>
      <c r="BB11" s="8">
        <v>923.9</v>
      </c>
      <c r="BC11" s="3">
        <v>276.24610000000007</v>
      </c>
      <c r="BD11" s="7">
        <v>70.099999999999994</v>
      </c>
      <c r="BH11" s="8">
        <v>923.9</v>
      </c>
      <c r="BI11" s="3">
        <v>16.600000000000001</v>
      </c>
      <c r="BJ11" s="3">
        <v>48</v>
      </c>
      <c r="BK11" s="3">
        <v>276.24610000000007</v>
      </c>
      <c r="BW11" s="3">
        <v>16.600000000000001</v>
      </c>
      <c r="BX11" s="3">
        <v>48</v>
      </c>
      <c r="BY11" s="8">
        <v>0.46195000000000003</v>
      </c>
      <c r="BZ11" s="6">
        <v>310</v>
      </c>
      <c r="CA11" s="6">
        <v>44.329999999999984</v>
      </c>
      <c r="CB11" s="7">
        <v>85.7</v>
      </c>
      <c r="CC11">
        <f t="shared" si="1"/>
        <v>44.329999999999984</v>
      </c>
      <c r="CE11" s="6">
        <v>310</v>
      </c>
      <c r="CF11" s="3">
        <v>16.600000000000001</v>
      </c>
      <c r="CG11" s="3">
        <v>48</v>
      </c>
      <c r="CH11" s="6">
        <v>44.329999999999984</v>
      </c>
      <c r="CY11" s="4">
        <v>7</v>
      </c>
      <c r="CZ11" s="6">
        <v>84</v>
      </c>
      <c r="DB11" s="44"/>
      <c r="DE11" s="3">
        <v>5</v>
      </c>
      <c r="DF11" s="7">
        <v>69.599999999999994</v>
      </c>
    </row>
    <row r="12" spans="1:110" ht="15" x14ac:dyDescent="0.25">
      <c r="A12">
        <v>20</v>
      </c>
      <c r="B12" s="3"/>
      <c r="D12">
        <v>48</v>
      </c>
      <c r="E12" s="8">
        <v>0.12919999999999998</v>
      </c>
      <c r="F12" s="7" t="s">
        <v>48</v>
      </c>
      <c r="G12">
        <v>59</v>
      </c>
      <c r="H12" s="7" t="s">
        <v>48</v>
      </c>
      <c r="I12" s="7">
        <v>13.183347464017316</v>
      </c>
      <c r="K12" s="3">
        <v>15</v>
      </c>
      <c r="L12">
        <v>24</v>
      </c>
      <c r="M12" s="8">
        <v>0.37599999999999995</v>
      </c>
      <c r="N12">
        <v>53</v>
      </c>
      <c r="O12">
        <v>12.084735175349207</v>
      </c>
      <c r="R12">
        <v>16.5</v>
      </c>
      <c r="S12">
        <v>73.599999999999994</v>
      </c>
      <c r="T12" s="19">
        <v>0.18</v>
      </c>
      <c r="U12" s="9">
        <v>76.7</v>
      </c>
      <c r="AA12" s="8">
        <v>0.18749999999999997</v>
      </c>
      <c r="AB12">
        <v>60</v>
      </c>
      <c r="AL12" s="3">
        <v>15</v>
      </c>
      <c r="AM12">
        <v>48</v>
      </c>
      <c r="AN12" s="8">
        <v>0.18749999999999997</v>
      </c>
      <c r="AO12">
        <v>60</v>
      </c>
      <c r="AQ12">
        <f t="shared" si="0"/>
        <v>134.99999999999997</v>
      </c>
      <c r="AR12">
        <v>60</v>
      </c>
      <c r="AW12">
        <v>20</v>
      </c>
      <c r="AX12" s="3"/>
      <c r="AZ12">
        <v>48</v>
      </c>
      <c r="BA12" s="8">
        <v>0.12919999999999998</v>
      </c>
      <c r="BB12" s="8">
        <v>258.39999999999998</v>
      </c>
      <c r="BC12" s="3">
        <v>105.94399999999999</v>
      </c>
      <c r="BD12">
        <v>59</v>
      </c>
      <c r="BH12" s="8">
        <v>258.39999999999998</v>
      </c>
      <c r="BI12">
        <v>20</v>
      </c>
      <c r="BJ12">
        <v>48</v>
      </c>
      <c r="BK12" s="3">
        <v>105.94399999999999</v>
      </c>
      <c r="BW12" s="3">
        <v>15</v>
      </c>
      <c r="BX12">
        <v>48</v>
      </c>
      <c r="BY12" s="8">
        <v>0.18749999999999997</v>
      </c>
      <c r="BZ12">
        <v>178</v>
      </c>
      <c r="CA12">
        <v>81.88</v>
      </c>
      <c r="CB12">
        <v>54</v>
      </c>
      <c r="CC12">
        <f t="shared" si="1"/>
        <v>81.88</v>
      </c>
      <c r="CE12">
        <v>178</v>
      </c>
      <c r="CF12" s="3">
        <v>15</v>
      </c>
      <c r="CG12">
        <v>48</v>
      </c>
      <c r="CH12">
        <v>81.88</v>
      </c>
      <c r="CY12" s="3">
        <v>8</v>
      </c>
      <c r="CZ12">
        <v>40</v>
      </c>
      <c r="DA12" s="7"/>
      <c r="DB12" s="44"/>
      <c r="DE12" s="3">
        <v>5</v>
      </c>
      <c r="DF12" s="7">
        <v>70.099999999999994</v>
      </c>
    </row>
    <row r="13" spans="1:110" ht="15" x14ac:dyDescent="0.25">
      <c r="A13">
        <v>20</v>
      </c>
      <c r="B13" s="3"/>
      <c r="C13" s="3"/>
      <c r="D13">
        <v>72</v>
      </c>
      <c r="E13" s="8">
        <v>8.613333333333334E-2</v>
      </c>
      <c r="F13" s="7" t="s">
        <v>48</v>
      </c>
      <c r="G13">
        <v>64</v>
      </c>
      <c r="H13" s="7" t="s">
        <v>48</v>
      </c>
      <c r="I13" s="7">
        <v>13.183347464017316</v>
      </c>
      <c r="K13" s="3">
        <v>15</v>
      </c>
      <c r="L13">
        <v>24</v>
      </c>
      <c r="M13" s="8">
        <v>0.378</v>
      </c>
      <c r="N13">
        <v>56</v>
      </c>
      <c r="O13">
        <v>16.479184330021646</v>
      </c>
      <c r="R13" s="3">
        <v>16.600000000000001</v>
      </c>
      <c r="S13" s="3">
        <v>48</v>
      </c>
      <c r="T13" s="8">
        <v>0.46195000000000003</v>
      </c>
      <c r="U13" s="7">
        <v>85.7</v>
      </c>
      <c r="AA13" s="12">
        <v>0.21199999999999999</v>
      </c>
      <c r="AB13" s="7">
        <v>54.104477611940297</v>
      </c>
      <c r="AL13" s="3">
        <v>16</v>
      </c>
      <c r="AM13" s="3">
        <v>36</v>
      </c>
      <c r="AN13" s="12">
        <v>0.21199999999999999</v>
      </c>
      <c r="AO13" s="7">
        <v>54.104477611940297</v>
      </c>
      <c r="AQ13">
        <f t="shared" si="0"/>
        <v>122.11199999999999</v>
      </c>
      <c r="AR13" s="7">
        <v>54.104477611940297</v>
      </c>
      <c r="AW13">
        <v>20</v>
      </c>
      <c r="AX13" s="3"/>
      <c r="AY13" s="3"/>
      <c r="AZ13">
        <v>72</v>
      </c>
      <c r="BA13" s="8">
        <v>8.613333333333334E-2</v>
      </c>
      <c r="BB13" s="8">
        <v>258.39999999999998</v>
      </c>
      <c r="BC13" s="3">
        <v>93.024000000000001</v>
      </c>
      <c r="BD13">
        <v>64</v>
      </c>
      <c r="BH13" s="8">
        <v>258.39999999999998</v>
      </c>
      <c r="BI13">
        <v>20</v>
      </c>
      <c r="BJ13">
        <v>72</v>
      </c>
      <c r="BK13" s="3">
        <v>93.024000000000001</v>
      </c>
      <c r="BW13" s="3">
        <v>15</v>
      </c>
      <c r="BX13">
        <v>24</v>
      </c>
      <c r="BY13" s="8">
        <v>0.37599999999999995</v>
      </c>
      <c r="BZ13">
        <v>179</v>
      </c>
      <c r="CA13">
        <v>89.5</v>
      </c>
      <c r="CB13">
        <v>50</v>
      </c>
      <c r="CC13">
        <f t="shared" si="1"/>
        <v>89.5</v>
      </c>
      <c r="CE13">
        <v>179</v>
      </c>
      <c r="CF13" s="3">
        <v>15</v>
      </c>
      <c r="CG13">
        <v>24</v>
      </c>
      <c r="CH13">
        <v>89.5</v>
      </c>
      <c r="CY13" s="3">
        <v>8</v>
      </c>
      <c r="CZ13">
        <v>50</v>
      </c>
      <c r="DA13" s="7"/>
      <c r="DB13" s="44"/>
      <c r="DE13" s="7">
        <v>6</v>
      </c>
      <c r="DF13" s="9">
        <v>45.676274944567631</v>
      </c>
    </row>
    <row r="14" spans="1:110" ht="15" x14ac:dyDescent="0.25">
      <c r="A14">
        <v>20</v>
      </c>
      <c r="B14" s="3"/>
      <c r="C14" s="3"/>
      <c r="D14">
        <v>96</v>
      </c>
      <c r="E14" s="8">
        <v>6.4599999999999991E-2</v>
      </c>
      <c r="F14" s="7" t="s">
        <v>48</v>
      </c>
      <c r="G14">
        <v>67</v>
      </c>
      <c r="H14" s="7" t="s">
        <v>48</v>
      </c>
      <c r="I14" s="7">
        <v>13.183347464017316</v>
      </c>
      <c r="K14" s="3">
        <v>15</v>
      </c>
      <c r="L14">
        <v>48</v>
      </c>
      <c r="M14" s="8">
        <v>0.18749999999999997</v>
      </c>
      <c r="N14">
        <v>56</v>
      </c>
      <c r="O14">
        <v>16.479184330021646</v>
      </c>
      <c r="R14" s="3">
        <v>16.600000000000001</v>
      </c>
      <c r="S14" s="3">
        <v>72</v>
      </c>
      <c r="T14" s="8">
        <v>0.24666666666666673</v>
      </c>
      <c r="U14" s="7">
        <v>84.5</v>
      </c>
      <c r="AA14" s="8">
        <v>0.24666666666666673</v>
      </c>
      <c r="AB14" s="7">
        <v>69.599999999999994</v>
      </c>
      <c r="AL14" s="3">
        <v>16.600000000000001</v>
      </c>
      <c r="AM14" s="3">
        <v>72</v>
      </c>
      <c r="AN14" s="8">
        <v>0.24666666666666673</v>
      </c>
      <c r="AO14" s="7">
        <v>69.599999999999994</v>
      </c>
      <c r="AQ14">
        <f t="shared" si="0"/>
        <v>294.81600000000009</v>
      </c>
      <c r="AR14" s="7">
        <v>69.599999999999994</v>
      </c>
      <c r="AW14">
        <v>20</v>
      </c>
      <c r="AX14" s="3"/>
      <c r="AY14" s="3"/>
      <c r="AZ14">
        <v>96</v>
      </c>
      <c r="BA14" s="8">
        <v>6.4599999999999991E-2</v>
      </c>
      <c r="BB14" s="8">
        <v>258.39999999999998</v>
      </c>
      <c r="BC14" s="3">
        <v>85.271999999999991</v>
      </c>
      <c r="BD14">
        <v>67</v>
      </c>
      <c r="BH14" s="8">
        <v>258.39999999999998</v>
      </c>
      <c r="BI14">
        <v>20</v>
      </c>
      <c r="BJ14">
        <v>96</v>
      </c>
      <c r="BK14" s="3">
        <v>85.271999999999991</v>
      </c>
      <c r="BW14" s="3">
        <v>15</v>
      </c>
      <c r="BX14">
        <v>12</v>
      </c>
      <c r="BY14" s="8">
        <v>0.75199999999999989</v>
      </c>
      <c r="BZ14">
        <v>177</v>
      </c>
      <c r="CA14">
        <v>106.2</v>
      </c>
      <c r="CB14">
        <v>40</v>
      </c>
      <c r="CC14">
        <f t="shared" si="1"/>
        <v>106.2</v>
      </c>
      <c r="CE14">
        <v>177</v>
      </c>
      <c r="CF14" s="3">
        <v>15</v>
      </c>
      <c r="CG14">
        <v>12</v>
      </c>
      <c r="CH14">
        <v>106.2</v>
      </c>
      <c r="CY14" s="3">
        <v>8</v>
      </c>
      <c r="CZ14">
        <v>54</v>
      </c>
      <c r="DB14" s="44"/>
      <c r="DE14" s="4">
        <v>7</v>
      </c>
      <c r="DF14" s="6">
        <v>76</v>
      </c>
    </row>
    <row r="15" spans="1:110" ht="15" x14ac:dyDescent="0.25">
      <c r="A15">
        <v>20</v>
      </c>
      <c r="B15" s="3"/>
      <c r="C15" s="3"/>
      <c r="D15">
        <v>120</v>
      </c>
      <c r="E15" s="8">
        <v>5.167999999999999E-2</v>
      </c>
      <c r="F15" s="7" t="s">
        <v>48</v>
      </c>
      <c r="G15">
        <v>68</v>
      </c>
      <c r="H15" s="7" t="s">
        <v>48</v>
      </c>
      <c r="I15" s="7">
        <v>13.183347464017316</v>
      </c>
      <c r="K15" s="3">
        <v>15</v>
      </c>
      <c r="L15">
        <v>48</v>
      </c>
      <c r="M15" s="8">
        <v>0.18749999999999997</v>
      </c>
      <c r="N15">
        <v>60</v>
      </c>
      <c r="O15">
        <v>16.479184330021646</v>
      </c>
      <c r="R15" s="3">
        <v>17.899999999999999</v>
      </c>
      <c r="S15" s="3">
        <v>24</v>
      </c>
      <c r="T15" s="8">
        <v>0.58099999999999996</v>
      </c>
      <c r="U15" s="7">
        <v>83</v>
      </c>
      <c r="AA15" s="8">
        <v>0.31</v>
      </c>
      <c r="AB15" s="7">
        <v>63</v>
      </c>
      <c r="AL15" s="29">
        <v>18</v>
      </c>
      <c r="AM15" s="3">
        <v>9.5</v>
      </c>
      <c r="AN15" s="8">
        <v>0.31</v>
      </c>
      <c r="AO15" s="7">
        <v>63</v>
      </c>
      <c r="AQ15">
        <f t="shared" si="0"/>
        <v>53.01</v>
      </c>
      <c r="AR15" s="7">
        <v>63</v>
      </c>
      <c r="AW15">
        <v>20</v>
      </c>
      <c r="AX15" s="3"/>
      <c r="AY15" s="3"/>
      <c r="AZ15">
        <v>120</v>
      </c>
      <c r="BA15" s="8">
        <v>5.167999999999999E-2</v>
      </c>
      <c r="BB15" s="8">
        <v>258.39999999999998</v>
      </c>
      <c r="BC15" s="3">
        <v>82.687999999999988</v>
      </c>
      <c r="BD15">
        <v>68</v>
      </c>
      <c r="BH15" s="8">
        <v>258.39999999999998</v>
      </c>
      <c r="BI15">
        <v>20</v>
      </c>
      <c r="BJ15">
        <v>120</v>
      </c>
      <c r="BK15" s="3">
        <v>82.687999999999988</v>
      </c>
      <c r="BW15" s="3">
        <v>15</v>
      </c>
      <c r="BX15">
        <v>48</v>
      </c>
      <c r="BY15" s="8">
        <v>0.18749999999999997</v>
      </c>
      <c r="BZ15">
        <v>177</v>
      </c>
      <c r="CA15">
        <v>67.260000000000005</v>
      </c>
      <c r="CB15">
        <v>62</v>
      </c>
      <c r="CC15">
        <f t="shared" si="1"/>
        <v>67.260000000000005</v>
      </c>
      <c r="CE15">
        <v>177</v>
      </c>
      <c r="CF15" s="3">
        <v>15</v>
      </c>
      <c r="CG15">
        <v>48</v>
      </c>
      <c r="CH15">
        <v>67.260000000000005</v>
      </c>
      <c r="CY15">
        <v>8</v>
      </c>
      <c r="CZ15" s="9">
        <v>83</v>
      </c>
      <c r="DA15" s="7"/>
      <c r="DB15" s="44"/>
      <c r="DE15">
        <v>8</v>
      </c>
      <c r="DF15" s="9">
        <v>43</v>
      </c>
    </row>
    <row r="16" spans="1:110" ht="15" x14ac:dyDescent="0.25">
      <c r="A16">
        <v>9</v>
      </c>
      <c r="B16" s="3"/>
      <c r="C16" s="3"/>
      <c r="D16">
        <v>72</v>
      </c>
      <c r="E16" s="8">
        <v>8.613333333333334E-2</v>
      </c>
      <c r="F16" s="7" t="s">
        <v>48</v>
      </c>
      <c r="G16">
        <v>51</v>
      </c>
      <c r="H16" s="7" t="s">
        <v>48</v>
      </c>
      <c r="I16" s="7">
        <v>13.183347464017316</v>
      </c>
      <c r="K16">
        <v>15.7</v>
      </c>
      <c r="L16" s="3">
        <v>26</v>
      </c>
      <c r="M16" s="19"/>
      <c r="N16" s="9">
        <v>22.600619195046441</v>
      </c>
      <c r="O16">
        <v>18.676408907357867</v>
      </c>
      <c r="R16">
        <v>18</v>
      </c>
      <c r="S16">
        <v>12</v>
      </c>
      <c r="T16">
        <v>1.3</v>
      </c>
      <c r="U16" s="9">
        <v>83</v>
      </c>
      <c r="AA16" s="12">
        <v>0.318</v>
      </c>
      <c r="AB16" s="7">
        <v>58.536585365853654</v>
      </c>
      <c r="AL16" s="3">
        <v>16</v>
      </c>
      <c r="AM16" s="3">
        <v>24</v>
      </c>
      <c r="AN16" s="12">
        <v>0.318</v>
      </c>
      <c r="AO16" s="7">
        <v>58.536585365853654</v>
      </c>
      <c r="AQ16">
        <f t="shared" si="0"/>
        <v>122.11199999999999</v>
      </c>
      <c r="AR16" s="7">
        <v>58.536585365853654</v>
      </c>
      <c r="AW16">
        <v>9</v>
      </c>
      <c r="AX16" s="3"/>
      <c r="AY16" s="3"/>
      <c r="AZ16">
        <v>72</v>
      </c>
      <c r="BA16" s="8">
        <v>8.613333333333334E-2</v>
      </c>
      <c r="BB16" s="8">
        <v>258.39999999999998</v>
      </c>
      <c r="BC16" s="3">
        <v>126.61599999999999</v>
      </c>
      <c r="BD16">
        <v>51</v>
      </c>
      <c r="BH16" s="8">
        <v>258.39999999999998</v>
      </c>
      <c r="BI16">
        <v>9</v>
      </c>
      <c r="BJ16">
        <v>72</v>
      </c>
      <c r="BK16" s="3">
        <v>126.61599999999999</v>
      </c>
      <c r="BW16" s="3">
        <v>15</v>
      </c>
      <c r="BX16">
        <v>24</v>
      </c>
      <c r="BY16" s="8">
        <v>0.378</v>
      </c>
      <c r="BZ16">
        <v>177</v>
      </c>
      <c r="CA16">
        <v>77.88</v>
      </c>
      <c r="CB16">
        <v>56</v>
      </c>
      <c r="CC16">
        <f t="shared" si="1"/>
        <v>77.88</v>
      </c>
      <c r="CE16">
        <v>177</v>
      </c>
      <c r="CF16" s="3">
        <v>15</v>
      </c>
      <c r="CG16">
        <v>24</v>
      </c>
      <c r="CH16">
        <v>77.88</v>
      </c>
      <c r="CY16" s="7">
        <v>9</v>
      </c>
      <c r="CZ16" s="7">
        <v>68.900000000000006</v>
      </c>
      <c r="DB16" s="44"/>
      <c r="DE16" s="3">
        <v>8</v>
      </c>
      <c r="DF16">
        <v>48</v>
      </c>
    </row>
    <row r="17" spans="1:110" ht="15" x14ac:dyDescent="0.25">
      <c r="A17">
        <v>9</v>
      </c>
      <c r="B17" s="3"/>
      <c r="C17" s="3"/>
      <c r="D17">
        <v>96</v>
      </c>
      <c r="E17" s="8">
        <v>6.4599999999999991E-2</v>
      </c>
      <c r="F17" s="7" t="s">
        <v>48</v>
      </c>
      <c r="G17">
        <v>55</v>
      </c>
      <c r="H17" s="7" t="s">
        <v>48</v>
      </c>
      <c r="I17" s="7">
        <v>13.183347464017316</v>
      </c>
      <c r="K17" s="3">
        <v>16</v>
      </c>
      <c r="L17" s="3">
        <v>12</v>
      </c>
      <c r="M17" s="12">
        <v>0.63600000000000001</v>
      </c>
      <c r="N17" s="7">
        <v>56.000000000000007</v>
      </c>
      <c r="O17">
        <v>8.7888983093448783</v>
      </c>
      <c r="R17" s="3">
        <v>18.5</v>
      </c>
      <c r="S17" s="3">
        <v>27</v>
      </c>
      <c r="T17" s="8">
        <v>0.46044444444444443</v>
      </c>
      <c r="U17" s="7">
        <v>91</v>
      </c>
      <c r="AA17">
        <v>0.32100000000000001</v>
      </c>
      <c r="AB17">
        <v>74</v>
      </c>
      <c r="AL17">
        <v>27.8</v>
      </c>
      <c r="AM17" s="3">
        <v>72</v>
      </c>
      <c r="AN17">
        <v>0.32100000000000001</v>
      </c>
      <c r="AO17">
        <v>74</v>
      </c>
      <c r="AQ17">
        <f t="shared" si="0"/>
        <v>642.51360000000011</v>
      </c>
      <c r="AR17">
        <v>74</v>
      </c>
      <c r="AW17">
        <v>9</v>
      </c>
      <c r="AX17" s="3"/>
      <c r="AY17" s="3"/>
      <c r="AZ17">
        <v>96</v>
      </c>
      <c r="BA17" s="8">
        <v>6.4599999999999991E-2</v>
      </c>
      <c r="BB17" s="8">
        <v>258.39999999999998</v>
      </c>
      <c r="BC17" s="3">
        <v>116.27999999999997</v>
      </c>
      <c r="BD17">
        <v>55</v>
      </c>
      <c r="BH17" s="8">
        <v>258.39999999999998</v>
      </c>
      <c r="BI17">
        <v>9</v>
      </c>
      <c r="BJ17">
        <v>96</v>
      </c>
      <c r="BK17" s="3">
        <v>116.27999999999997</v>
      </c>
      <c r="BW17" s="3">
        <v>15</v>
      </c>
      <c r="BX17">
        <v>12</v>
      </c>
      <c r="BY17" s="8">
        <v>0.74999999999999989</v>
      </c>
      <c r="BZ17">
        <v>178</v>
      </c>
      <c r="CA17">
        <v>106.8</v>
      </c>
      <c r="CB17">
        <v>40</v>
      </c>
      <c r="CC17">
        <f t="shared" si="1"/>
        <v>106.8</v>
      </c>
      <c r="CE17">
        <v>178</v>
      </c>
      <c r="CF17" s="3">
        <v>15</v>
      </c>
      <c r="CG17">
        <v>12</v>
      </c>
      <c r="CH17">
        <v>106.8</v>
      </c>
      <c r="CY17" s="7">
        <v>9</v>
      </c>
      <c r="CZ17" s="7">
        <v>70.5</v>
      </c>
      <c r="DA17" s="7"/>
      <c r="DB17" s="44"/>
      <c r="DE17" s="3">
        <v>8</v>
      </c>
      <c r="DF17">
        <v>53</v>
      </c>
    </row>
    <row r="18" spans="1:110" ht="15" x14ac:dyDescent="0.25">
      <c r="A18">
        <v>9</v>
      </c>
      <c r="B18" s="3"/>
      <c r="C18" s="3"/>
      <c r="D18">
        <v>120</v>
      </c>
      <c r="E18" s="8">
        <v>5.167999999999999E-2</v>
      </c>
      <c r="F18" s="7" t="s">
        <v>48</v>
      </c>
      <c r="G18">
        <v>61</v>
      </c>
      <c r="H18" s="7" t="s">
        <v>48</v>
      </c>
      <c r="I18" s="7">
        <v>13.183347464017316</v>
      </c>
      <c r="K18" s="3">
        <v>16</v>
      </c>
      <c r="L18" s="3">
        <v>24</v>
      </c>
      <c r="M18" s="12">
        <v>0.318</v>
      </c>
      <c r="N18" s="7">
        <v>58.536585365853654</v>
      </c>
      <c r="O18">
        <v>8.7888983093448783</v>
      </c>
      <c r="R18" s="4">
        <v>19</v>
      </c>
      <c r="S18" s="3">
        <v>24</v>
      </c>
      <c r="T18" s="8">
        <v>0.41100000000000003</v>
      </c>
      <c r="U18" s="6">
        <v>84</v>
      </c>
      <c r="AA18" s="8">
        <v>0.33200000000000002</v>
      </c>
      <c r="AB18" s="7">
        <v>24.8</v>
      </c>
      <c r="AL18" s="3">
        <v>14.6</v>
      </c>
      <c r="AM18" s="3">
        <v>28</v>
      </c>
      <c r="AN18" s="8">
        <v>0.33200000000000002</v>
      </c>
      <c r="AO18" s="7">
        <v>24.8</v>
      </c>
      <c r="AQ18">
        <f t="shared" si="0"/>
        <v>135.72160000000002</v>
      </c>
      <c r="AR18" s="7">
        <v>24.8</v>
      </c>
      <c r="AW18">
        <v>9</v>
      </c>
      <c r="AX18" s="3"/>
      <c r="AY18" s="3"/>
      <c r="AZ18">
        <v>120</v>
      </c>
      <c r="BA18" s="8">
        <v>5.167999999999999E-2</v>
      </c>
      <c r="BB18" s="8">
        <v>258.39999999999998</v>
      </c>
      <c r="BC18" s="3">
        <v>100.77599999999998</v>
      </c>
      <c r="BD18">
        <v>61</v>
      </c>
      <c r="BH18" s="8">
        <v>258.39999999999998</v>
      </c>
      <c r="BI18">
        <v>9</v>
      </c>
      <c r="BJ18">
        <v>120</v>
      </c>
      <c r="BK18" s="3">
        <v>100.77599999999998</v>
      </c>
      <c r="BW18" s="3">
        <v>17.899999999999999</v>
      </c>
      <c r="BX18" s="3">
        <v>24</v>
      </c>
      <c r="BY18" s="8">
        <v>0.58099999999999996</v>
      </c>
      <c r="BZ18" s="6">
        <v>307</v>
      </c>
      <c r="CA18" s="6">
        <v>52.190000000000026</v>
      </c>
      <c r="CB18" s="7">
        <v>83</v>
      </c>
      <c r="CC18">
        <f t="shared" si="1"/>
        <v>52.190000000000026</v>
      </c>
      <c r="CE18" s="6">
        <v>307</v>
      </c>
      <c r="CF18" s="3">
        <v>17.899999999999999</v>
      </c>
      <c r="CG18" s="3">
        <v>24</v>
      </c>
      <c r="CH18" s="6">
        <v>52.190000000000026</v>
      </c>
      <c r="CY18" s="7">
        <v>9</v>
      </c>
      <c r="CZ18" s="7">
        <v>73.7</v>
      </c>
      <c r="DA18" s="9"/>
      <c r="DB18" s="44"/>
      <c r="DE18" s="3">
        <v>8</v>
      </c>
      <c r="DF18">
        <v>56</v>
      </c>
    </row>
    <row r="19" spans="1:110" ht="15" x14ac:dyDescent="0.25">
      <c r="A19">
        <v>9</v>
      </c>
      <c r="B19" s="3"/>
      <c r="C19" s="3"/>
      <c r="D19">
        <v>144</v>
      </c>
      <c r="E19" s="8">
        <v>4.306666666666667E-2</v>
      </c>
      <c r="F19" s="7" t="s">
        <v>48</v>
      </c>
      <c r="G19">
        <v>62</v>
      </c>
      <c r="H19" s="7" t="s">
        <v>48</v>
      </c>
      <c r="I19" s="7">
        <v>13.183347464017316</v>
      </c>
      <c r="K19" s="3">
        <v>16</v>
      </c>
      <c r="L19" s="3">
        <v>36</v>
      </c>
      <c r="M19" s="12">
        <v>0.21199999999999999</v>
      </c>
      <c r="N19" s="7">
        <v>54.104477611940297</v>
      </c>
      <c r="O19">
        <v>8.7888983093448783</v>
      </c>
      <c r="R19" s="7">
        <v>23</v>
      </c>
      <c r="S19" s="3">
        <v>12</v>
      </c>
      <c r="T19" s="8">
        <v>1.3</v>
      </c>
      <c r="U19" s="7">
        <v>70.5</v>
      </c>
      <c r="AA19" s="8">
        <v>0.35062500000000002</v>
      </c>
      <c r="AB19" s="7">
        <v>67</v>
      </c>
      <c r="AL19" s="29">
        <v>19</v>
      </c>
      <c r="AM19" s="3">
        <v>12.8</v>
      </c>
      <c r="AN19" s="8">
        <v>0.35062500000000002</v>
      </c>
      <c r="AO19" s="7">
        <v>67</v>
      </c>
      <c r="AQ19">
        <f t="shared" si="0"/>
        <v>85.272000000000006</v>
      </c>
      <c r="AR19" s="7">
        <v>67</v>
      </c>
      <c r="AW19">
        <v>9</v>
      </c>
      <c r="AX19" s="3"/>
      <c r="AY19" s="3"/>
      <c r="AZ19">
        <v>144</v>
      </c>
      <c r="BA19" s="8">
        <v>4.306666666666667E-2</v>
      </c>
      <c r="BB19" s="8">
        <v>258.39999999999998</v>
      </c>
      <c r="BC19" s="3">
        <v>98.191999999999979</v>
      </c>
      <c r="BD19">
        <v>62</v>
      </c>
      <c r="BH19" s="8">
        <v>258.39999999999998</v>
      </c>
      <c r="BI19">
        <v>9</v>
      </c>
      <c r="BJ19">
        <v>144</v>
      </c>
      <c r="BK19" s="3">
        <v>98.191999999999979</v>
      </c>
      <c r="BW19" s="3">
        <v>18.5</v>
      </c>
      <c r="BX19" s="3">
        <v>27</v>
      </c>
      <c r="BY19" s="8">
        <v>0.46044444444444443</v>
      </c>
      <c r="BZ19" s="6">
        <v>311</v>
      </c>
      <c r="CA19" s="6">
        <v>27.990000000000009</v>
      </c>
      <c r="CB19" s="7">
        <v>91</v>
      </c>
      <c r="CC19">
        <f t="shared" si="1"/>
        <v>27.990000000000009</v>
      </c>
      <c r="CE19" s="6">
        <v>311</v>
      </c>
      <c r="CF19" s="3">
        <v>18.5</v>
      </c>
      <c r="CG19" s="3">
        <v>27</v>
      </c>
      <c r="CH19" s="6">
        <v>27.990000000000009</v>
      </c>
      <c r="CY19" s="7">
        <v>9</v>
      </c>
      <c r="CZ19" s="7">
        <v>82</v>
      </c>
      <c r="DA19" s="6"/>
      <c r="DB19" s="44"/>
      <c r="DE19" s="3">
        <v>9</v>
      </c>
      <c r="DF19">
        <v>51</v>
      </c>
    </row>
    <row r="20" spans="1:110" ht="15" x14ac:dyDescent="0.25">
      <c r="A20" s="3">
        <v>15</v>
      </c>
      <c r="B20" s="3"/>
      <c r="C20" s="3"/>
      <c r="D20">
        <v>48</v>
      </c>
      <c r="E20" s="8">
        <v>0.18749999999999997</v>
      </c>
      <c r="F20">
        <v>54</v>
      </c>
      <c r="G20">
        <v>56</v>
      </c>
      <c r="H20" s="7" t="s">
        <v>48</v>
      </c>
      <c r="I20" s="7">
        <v>12.084735175349207</v>
      </c>
      <c r="K20">
        <v>16.5</v>
      </c>
      <c r="L20">
        <v>73.599999999999994</v>
      </c>
      <c r="M20" s="19">
        <v>0.18</v>
      </c>
      <c r="N20" s="9">
        <v>52.4</v>
      </c>
      <c r="O20">
        <v>6.5916737320086582</v>
      </c>
      <c r="R20" s="7">
        <v>23.3</v>
      </c>
      <c r="S20" s="3">
        <v>18</v>
      </c>
      <c r="T20" s="8">
        <v>0.95799999999999996</v>
      </c>
      <c r="U20" s="7">
        <v>73.7</v>
      </c>
      <c r="AA20" s="8">
        <v>0.37599999999999995</v>
      </c>
      <c r="AB20">
        <v>53</v>
      </c>
      <c r="AL20" s="3">
        <v>15</v>
      </c>
      <c r="AM20">
        <v>24</v>
      </c>
      <c r="AN20" s="8">
        <v>0.37599999999999995</v>
      </c>
      <c r="AO20">
        <v>53</v>
      </c>
      <c r="AQ20">
        <f t="shared" si="0"/>
        <v>135.35999999999999</v>
      </c>
      <c r="AR20">
        <v>53</v>
      </c>
      <c r="AW20" s="3">
        <v>15</v>
      </c>
      <c r="AX20" s="3"/>
      <c r="AY20" s="3"/>
      <c r="AZ20">
        <v>48</v>
      </c>
      <c r="BA20" s="8">
        <v>0.18749999999999997</v>
      </c>
      <c r="BB20" s="8">
        <v>375</v>
      </c>
      <c r="BC20" s="3">
        <v>164.99999999999997</v>
      </c>
      <c r="BD20">
        <v>56</v>
      </c>
      <c r="BH20" s="8">
        <v>375</v>
      </c>
      <c r="BI20" s="3">
        <v>15</v>
      </c>
      <c r="BJ20">
        <v>48</v>
      </c>
      <c r="BK20" s="3">
        <v>164.99999999999997</v>
      </c>
      <c r="BW20" s="16">
        <v>10.5</v>
      </c>
      <c r="BX20" s="3">
        <v>55.2</v>
      </c>
      <c r="BY20" s="8">
        <v>0.19608695652173913</v>
      </c>
      <c r="BZ20" s="6">
        <v>277</v>
      </c>
      <c r="CA20" s="6">
        <v>80</v>
      </c>
      <c r="CB20" s="9">
        <v>71.119133574007222</v>
      </c>
      <c r="CC20">
        <f t="shared" si="1"/>
        <v>80</v>
      </c>
      <c r="CE20" s="6">
        <v>277</v>
      </c>
      <c r="CF20" s="16">
        <v>10.5</v>
      </c>
      <c r="CG20" s="3">
        <v>55.2</v>
      </c>
      <c r="CH20" s="6">
        <v>80</v>
      </c>
      <c r="CY20" s="3">
        <v>12</v>
      </c>
      <c r="CZ20">
        <v>40</v>
      </c>
      <c r="DA20" s="7"/>
      <c r="DB20" s="44"/>
      <c r="DE20" s="3">
        <v>9</v>
      </c>
      <c r="DF20">
        <v>55</v>
      </c>
    </row>
    <row r="21" spans="1:110" ht="15" x14ac:dyDescent="0.25">
      <c r="A21" s="3">
        <v>15</v>
      </c>
      <c r="B21" s="3"/>
      <c r="C21" s="3"/>
      <c r="D21">
        <v>24</v>
      </c>
      <c r="E21" s="8">
        <v>0.37599999999999995</v>
      </c>
      <c r="F21">
        <v>50</v>
      </c>
      <c r="G21">
        <v>53</v>
      </c>
      <c r="H21" s="7" t="s">
        <v>48</v>
      </c>
      <c r="I21" s="7">
        <v>12.084735175349207</v>
      </c>
      <c r="K21" s="3">
        <v>16.600000000000001</v>
      </c>
      <c r="L21" s="3">
        <v>48</v>
      </c>
      <c r="M21" s="8">
        <v>0.46195000000000003</v>
      </c>
      <c r="N21" s="7">
        <v>70.099999999999994</v>
      </c>
      <c r="O21">
        <v>8.7888983093448783</v>
      </c>
      <c r="R21" s="7">
        <v>24</v>
      </c>
      <c r="S21" s="3">
        <v>8</v>
      </c>
      <c r="T21" s="8">
        <v>2.1</v>
      </c>
      <c r="U21" s="7">
        <v>68.900000000000006</v>
      </c>
      <c r="AA21" s="8">
        <v>0.378</v>
      </c>
      <c r="AB21">
        <v>56</v>
      </c>
      <c r="AL21" s="3">
        <v>15</v>
      </c>
      <c r="AM21">
        <v>24</v>
      </c>
      <c r="AN21" s="8">
        <v>0.378</v>
      </c>
      <c r="AO21">
        <v>56</v>
      </c>
      <c r="AQ21">
        <f t="shared" si="0"/>
        <v>136.08000000000001</v>
      </c>
      <c r="AR21">
        <v>56</v>
      </c>
      <c r="AW21" s="3">
        <v>15</v>
      </c>
      <c r="AX21" s="3"/>
      <c r="AY21" s="3"/>
      <c r="AZ21">
        <v>24</v>
      </c>
      <c r="BA21" s="8">
        <v>0.37599999999999995</v>
      </c>
      <c r="BB21" s="8">
        <v>376</v>
      </c>
      <c r="BC21" s="3">
        <v>176.72</v>
      </c>
      <c r="BD21">
        <v>53</v>
      </c>
      <c r="BH21" s="8">
        <v>376</v>
      </c>
      <c r="BI21" s="3">
        <v>15</v>
      </c>
      <c r="BJ21">
        <v>24</v>
      </c>
      <c r="BK21" s="3">
        <v>176.72</v>
      </c>
      <c r="BW21" s="16">
        <v>10.5</v>
      </c>
      <c r="BX21" s="3">
        <v>55.2</v>
      </c>
      <c r="BY21" s="8">
        <v>0.19608695652173913</v>
      </c>
      <c r="BZ21" s="6">
        <v>277</v>
      </c>
      <c r="CA21" s="6">
        <v>91</v>
      </c>
      <c r="CB21" s="9">
        <v>67.148014440433215</v>
      </c>
      <c r="CC21">
        <f t="shared" si="1"/>
        <v>91</v>
      </c>
      <c r="CE21" s="6">
        <v>277</v>
      </c>
      <c r="CF21" s="16">
        <v>10.5</v>
      </c>
      <c r="CG21" s="3">
        <v>55.2</v>
      </c>
      <c r="CH21" s="6">
        <v>91</v>
      </c>
      <c r="CY21" s="3">
        <v>12</v>
      </c>
      <c r="CZ21">
        <v>56</v>
      </c>
      <c r="DA21" s="7"/>
      <c r="DB21" s="44"/>
      <c r="DE21" s="3">
        <v>9</v>
      </c>
      <c r="DF21">
        <v>59</v>
      </c>
    </row>
    <row r="22" spans="1:110" ht="15" x14ac:dyDescent="0.25">
      <c r="A22" s="3">
        <v>15</v>
      </c>
      <c r="B22" s="3"/>
      <c r="C22" s="3"/>
      <c r="D22">
        <v>12</v>
      </c>
      <c r="E22" s="8">
        <v>0.75199999999999989</v>
      </c>
      <c r="F22">
        <v>40</v>
      </c>
      <c r="G22">
        <v>48</v>
      </c>
      <c r="H22" s="7" t="s">
        <v>48</v>
      </c>
      <c r="I22" s="7">
        <v>12.084735175349207</v>
      </c>
      <c r="K22" s="3">
        <v>16.600000000000001</v>
      </c>
      <c r="L22" s="3">
        <v>72</v>
      </c>
      <c r="M22" s="8">
        <v>0.24666666666666673</v>
      </c>
      <c r="N22" s="7">
        <v>69.599999999999994</v>
      </c>
      <c r="O22">
        <v>8.7888983093448783</v>
      </c>
      <c r="R22">
        <v>24.1</v>
      </c>
      <c r="S22" s="3">
        <v>48</v>
      </c>
      <c r="T22">
        <v>0.436</v>
      </c>
      <c r="U22">
        <v>72</v>
      </c>
      <c r="AA22" s="8">
        <v>0.38</v>
      </c>
      <c r="AB22" s="7">
        <v>84</v>
      </c>
      <c r="AL22" s="29">
        <v>13.5</v>
      </c>
      <c r="AM22" s="3">
        <v>17.8</v>
      </c>
      <c r="AN22" s="8">
        <v>0.38</v>
      </c>
      <c r="AO22" s="7">
        <v>84</v>
      </c>
      <c r="AQ22">
        <f t="shared" si="0"/>
        <v>91.314000000000007</v>
      </c>
      <c r="AR22" s="7">
        <v>84</v>
      </c>
      <c r="AW22" s="3">
        <v>15</v>
      </c>
      <c r="AX22" s="3"/>
      <c r="AY22" s="3"/>
      <c r="AZ22">
        <v>12</v>
      </c>
      <c r="BA22" s="8">
        <v>0.75199999999999989</v>
      </c>
      <c r="BB22" s="8">
        <v>376</v>
      </c>
      <c r="BC22" s="3">
        <v>195.52</v>
      </c>
      <c r="BD22">
        <v>48</v>
      </c>
      <c r="BH22" s="8">
        <v>376</v>
      </c>
      <c r="BI22" s="3">
        <v>15</v>
      </c>
      <c r="BJ22">
        <v>12</v>
      </c>
      <c r="BK22" s="3">
        <v>195.52</v>
      </c>
      <c r="BW22" s="7">
        <v>30</v>
      </c>
      <c r="BX22" s="3">
        <v>24</v>
      </c>
      <c r="BY22" s="8">
        <v>0.57999999999999996</v>
      </c>
      <c r="BZ22" s="6">
        <v>303</v>
      </c>
      <c r="CA22" s="6">
        <v>30</v>
      </c>
      <c r="CB22" s="7">
        <v>90</v>
      </c>
      <c r="CC22">
        <f t="shared" si="1"/>
        <v>30.300000000000011</v>
      </c>
      <c r="CE22" s="6">
        <v>303</v>
      </c>
      <c r="CF22" s="7">
        <v>30</v>
      </c>
      <c r="CG22" s="3">
        <v>24</v>
      </c>
      <c r="CH22" s="6">
        <v>30</v>
      </c>
      <c r="CY22" s="3">
        <v>12</v>
      </c>
      <c r="CZ22">
        <v>62</v>
      </c>
      <c r="DA22" s="7"/>
      <c r="DB22" s="44"/>
      <c r="DE22" s="3">
        <v>9</v>
      </c>
      <c r="DF22">
        <v>61</v>
      </c>
    </row>
    <row r="23" spans="1:110" ht="15" x14ac:dyDescent="0.25">
      <c r="A23" s="3">
        <v>15</v>
      </c>
      <c r="B23" s="3"/>
      <c r="C23" s="3"/>
      <c r="D23">
        <v>48</v>
      </c>
      <c r="E23" s="8">
        <v>0.18749999999999997</v>
      </c>
      <c r="F23">
        <v>62</v>
      </c>
      <c r="G23">
        <v>60</v>
      </c>
      <c r="H23" s="7" t="s">
        <v>48</v>
      </c>
      <c r="I23" s="7">
        <v>16.479184330021646</v>
      </c>
      <c r="K23" s="3">
        <v>17.899999999999999</v>
      </c>
      <c r="L23" s="3">
        <v>24</v>
      </c>
      <c r="M23" s="8">
        <v>0.58099999999999996</v>
      </c>
      <c r="N23" s="7">
        <v>43</v>
      </c>
      <c r="O23" t="s">
        <v>48</v>
      </c>
      <c r="R23" s="7">
        <v>25.1</v>
      </c>
      <c r="S23" s="3">
        <v>24</v>
      </c>
      <c r="T23" s="8">
        <v>0.66900000000000004</v>
      </c>
      <c r="U23" s="7">
        <v>82</v>
      </c>
      <c r="AA23" s="8">
        <v>0.40432432432432425</v>
      </c>
      <c r="AB23" s="7">
        <v>72</v>
      </c>
      <c r="AL23" s="29">
        <v>24</v>
      </c>
      <c r="AM23" s="3">
        <v>11.1</v>
      </c>
      <c r="AN23" s="8">
        <v>0.40432432432432425</v>
      </c>
      <c r="AO23" s="7">
        <v>72</v>
      </c>
      <c r="AQ23">
        <f t="shared" si="0"/>
        <v>107.71199999999997</v>
      </c>
      <c r="AR23" s="7">
        <v>72</v>
      </c>
      <c r="AW23" s="3">
        <v>15</v>
      </c>
      <c r="AX23" s="3"/>
      <c r="AY23" s="3"/>
      <c r="AZ23">
        <v>48</v>
      </c>
      <c r="BA23" s="8">
        <v>0.18749999999999997</v>
      </c>
      <c r="BB23" s="8">
        <v>375</v>
      </c>
      <c r="BC23" s="3">
        <v>150</v>
      </c>
      <c r="BD23">
        <v>60</v>
      </c>
      <c r="BH23" s="8">
        <v>375</v>
      </c>
      <c r="BI23" s="3">
        <v>15</v>
      </c>
      <c r="BJ23">
        <v>48</v>
      </c>
      <c r="BK23" s="3">
        <v>150</v>
      </c>
      <c r="BU23">
        <v>12</v>
      </c>
      <c r="BV23">
        <v>40</v>
      </c>
      <c r="BW23" s="25">
        <v>26</v>
      </c>
      <c r="BX23" s="3">
        <v>24</v>
      </c>
      <c r="BY23" s="8">
        <v>0.41100000000000003</v>
      </c>
      <c r="BZ23" s="6">
        <v>242</v>
      </c>
      <c r="CA23" s="6">
        <v>19.600000000000001</v>
      </c>
      <c r="CB23" s="7">
        <v>91.2</v>
      </c>
      <c r="CC23">
        <f t="shared" si="1"/>
        <v>21.295999999999992</v>
      </c>
      <c r="CE23" s="6">
        <v>242</v>
      </c>
      <c r="CF23" s="25">
        <v>26</v>
      </c>
      <c r="CG23" s="3">
        <v>24</v>
      </c>
      <c r="CH23" s="6">
        <v>19.600000000000001</v>
      </c>
      <c r="CY23" s="7">
        <v>13</v>
      </c>
      <c r="CZ23" s="7">
        <v>90</v>
      </c>
      <c r="DA23" s="7"/>
      <c r="DB23" s="44"/>
      <c r="DE23" s="3">
        <v>9</v>
      </c>
      <c r="DF23">
        <v>62</v>
      </c>
    </row>
    <row r="24" spans="1:110" ht="15" x14ac:dyDescent="0.25">
      <c r="A24" s="3">
        <v>15</v>
      </c>
      <c r="B24" s="3"/>
      <c r="C24" s="3"/>
      <c r="D24">
        <v>24</v>
      </c>
      <c r="E24" s="8">
        <v>0.378</v>
      </c>
      <c r="F24">
        <v>56</v>
      </c>
      <c r="G24">
        <v>56</v>
      </c>
      <c r="H24" s="7" t="s">
        <v>48</v>
      </c>
      <c r="I24" s="7">
        <v>16.479184330021646</v>
      </c>
      <c r="K24" s="29">
        <v>18</v>
      </c>
      <c r="L24" s="3">
        <v>9.5</v>
      </c>
      <c r="M24" s="8">
        <v>0.31</v>
      </c>
      <c r="N24" s="7">
        <v>63</v>
      </c>
      <c r="O24">
        <v>12.084735175349207</v>
      </c>
      <c r="R24" s="10">
        <v>26</v>
      </c>
      <c r="S24" s="3">
        <v>24</v>
      </c>
      <c r="T24" s="8">
        <v>0.41100000000000003</v>
      </c>
      <c r="U24" s="7">
        <v>91.2</v>
      </c>
      <c r="AA24" s="8">
        <v>0.41100000000000003</v>
      </c>
      <c r="AB24" s="6">
        <v>76</v>
      </c>
      <c r="AL24" s="4">
        <v>19</v>
      </c>
      <c r="AM24" s="3">
        <v>24</v>
      </c>
      <c r="AN24" s="8">
        <v>0.41100000000000003</v>
      </c>
      <c r="AO24" s="6">
        <v>76</v>
      </c>
      <c r="AQ24">
        <f t="shared" si="0"/>
        <v>187.41600000000003</v>
      </c>
      <c r="AR24" s="6">
        <v>76</v>
      </c>
      <c r="AW24" s="3">
        <v>15</v>
      </c>
      <c r="AX24" s="3"/>
      <c r="AY24" s="3"/>
      <c r="AZ24">
        <v>24</v>
      </c>
      <c r="BA24" s="8">
        <v>0.378</v>
      </c>
      <c r="BB24" s="8">
        <v>378</v>
      </c>
      <c r="BC24" s="3">
        <v>166.32</v>
      </c>
      <c r="BD24">
        <v>56</v>
      </c>
      <c r="BH24" s="8">
        <v>378</v>
      </c>
      <c r="BI24" s="3">
        <v>15</v>
      </c>
      <c r="BJ24">
        <v>24</v>
      </c>
      <c r="BK24" s="3">
        <v>166.32</v>
      </c>
      <c r="BW24" s="16">
        <v>28.5</v>
      </c>
      <c r="BX24" s="3">
        <v>30</v>
      </c>
      <c r="BY24" s="8">
        <v>0.43680000000000008</v>
      </c>
      <c r="BZ24" s="6">
        <v>325.7</v>
      </c>
      <c r="CA24" s="6">
        <v>13.3</v>
      </c>
      <c r="CB24" s="7">
        <v>90</v>
      </c>
      <c r="CC24">
        <f t="shared" si="1"/>
        <v>32.569999999999993</v>
      </c>
      <c r="CE24" s="6">
        <v>325.7</v>
      </c>
      <c r="CF24" s="16">
        <v>28.5</v>
      </c>
      <c r="CG24" s="3">
        <v>30</v>
      </c>
      <c r="CH24" s="6">
        <v>13.3</v>
      </c>
      <c r="CY24" s="7">
        <v>13</v>
      </c>
      <c r="CZ24" s="7">
        <v>95</v>
      </c>
      <c r="DA24" s="7"/>
      <c r="DB24" s="44"/>
      <c r="DE24" s="3">
        <v>9</v>
      </c>
      <c r="DF24">
        <v>64</v>
      </c>
    </row>
    <row r="25" spans="1:110" ht="15" x14ac:dyDescent="0.25">
      <c r="A25" s="3">
        <v>15</v>
      </c>
      <c r="B25" s="3"/>
      <c r="C25" s="3"/>
      <c r="D25">
        <v>12</v>
      </c>
      <c r="E25" s="8">
        <v>0.74999999999999989</v>
      </c>
      <c r="F25">
        <v>40</v>
      </c>
      <c r="G25">
        <v>50</v>
      </c>
      <c r="H25" s="7" t="s">
        <v>48</v>
      </c>
      <c r="I25" s="7">
        <v>16.479184330021646</v>
      </c>
      <c r="K25">
        <v>18</v>
      </c>
      <c r="L25">
        <v>12</v>
      </c>
      <c r="M25">
        <v>1.3</v>
      </c>
      <c r="N25" s="9">
        <v>43</v>
      </c>
      <c r="O25" t="s">
        <v>48</v>
      </c>
      <c r="R25">
        <v>27.2</v>
      </c>
      <c r="S25" s="3">
        <v>24</v>
      </c>
      <c r="T25">
        <v>0.88500000000000001</v>
      </c>
      <c r="U25">
        <v>68</v>
      </c>
      <c r="AA25" s="8">
        <v>0.41100000000000003</v>
      </c>
      <c r="AB25" s="7">
        <v>88.6</v>
      </c>
      <c r="AL25" s="10">
        <v>26</v>
      </c>
      <c r="AM25" s="3">
        <v>24</v>
      </c>
      <c r="AN25" s="8">
        <v>0.41100000000000003</v>
      </c>
      <c r="AO25" s="7">
        <v>88.6</v>
      </c>
      <c r="AQ25">
        <f t="shared" si="0"/>
        <v>256.464</v>
      </c>
      <c r="AR25" s="7">
        <v>88.6</v>
      </c>
      <c r="AW25" s="3">
        <v>15</v>
      </c>
      <c r="AX25" s="3"/>
      <c r="AY25" s="3"/>
      <c r="AZ25">
        <v>12</v>
      </c>
      <c r="BA25" s="8">
        <v>0.74999999999999989</v>
      </c>
      <c r="BB25" s="8">
        <v>375</v>
      </c>
      <c r="BC25" s="3">
        <v>187.5</v>
      </c>
      <c r="BD25">
        <v>50</v>
      </c>
      <c r="BH25" s="8">
        <v>375</v>
      </c>
      <c r="BI25" s="3">
        <v>15</v>
      </c>
      <c r="BJ25">
        <v>12</v>
      </c>
      <c r="BK25" s="3">
        <v>187.5</v>
      </c>
      <c r="BW25" s="16">
        <v>28.2</v>
      </c>
      <c r="BX25" s="3">
        <v>30</v>
      </c>
      <c r="BY25" s="8">
        <v>0.47119999999999995</v>
      </c>
      <c r="BZ25" s="6">
        <v>498.6</v>
      </c>
      <c r="CA25" s="6">
        <v>16.7</v>
      </c>
      <c r="CB25" s="7">
        <v>95</v>
      </c>
      <c r="CC25">
        <f t="shared" si="1"/>
        <v>24.930000000000007</v>
      </c>
      <c r="CE25" s="6">
        <v>498.6</v>
      </c>
      <c r="CF25" s="16">
        <v>28.2</v>
      </c>
      <c r="CG25" s="3">
        <v>30</v>
      </c>
      <c r="CH25" s="6">
        <v>16.7</v>
      </c>
      <c r="CY25" s="3">
        <v>14</v>
      </c>
      <c r="CZ25" s="7">
        <v>41.7</v>
      </c>
      <c r="DA25" s="7"/>
      <c r="DB25" s="44"/>
      <c r="DE25" s="3">
        <v>9</v>
      </c>
      <c r="DF25">
        <v>67</v>
      </c>
    </row>
    <row r="26" spans="1:110" ht="15" x14ac:dyDescent="0.25">
      <c r="A26" s="3">
        <v>17.899999999999999</v>
      </c>
      <c r="B26" s="3"/>
      <c r="C26" s="3"/>
      <c r="D26" s="3">
        <v>24</v>
      </c>
      <c r="E26" s="8">
        <v>0.58099999999999996</v>
      </c>
      <c r="F26" s="7">
        <v>83</v>
      </c>
      <c r="G26" s="7">
        <v>43</v>
      </c>
      <c r="H26" s="7" t="s">
        <v>48</v>
      </c>
      <c r="I26" s="7" t="s">
        <v>48</v>
      </c>
      <c r="K26" s="3">
        <v>18</v>
      </c>
      <c r="L26" s="3">
        <v>12</v>
      </c>
      <c r="M26" s="12" t="s">
        <v>141</v>
      </c>
      <c r="N26" s="7">
        <v>43</v>
      </c>
      <c r="O26" t="s">
        <v>48</v>
      </c>
      <c r="R26">
        <v>27.8</v>
      </c>
      <c r="S26" s="3">
        <v>72</v>
      </c>
      <c r="T26">
        <v>0.32100000000000001</v>
      </c>
      <c r="U26">
        <v>76</v>
      </c>
      <c r="AA26">
        <v>0.436</v>
      </c>
      <c r="AB26">
        <v>64</v>
      </c>
      <c r="AL26">
        <v>24.1</v>
      </c>
      <c r="AM26" s="3">
        <v>48</v>
      </c>
      <c r="AN26">
        <v>0.436</v>
      </c>
      <c r="AO26">
        <v>64</v>
      </c>
      <c r="AQ26">
        <f t="shared" si="0"/>
        <v>504.36480000000006</v>
      </c>
      <c r="AR26">
        <v>64</v>
      </c>
      <c r="AW26" s="3">
        <v>17.899999999999999</v>
      </c>
      <c r="AX26" s="3"/>
      <c r="AY26" s="3"/>
      <c r="AZ26" s="3">
        <v>24</v>
      </c>
      <c r="BA26" s="8">
        <v>0.58099999999999996</v>
      </c>
      <c r="BB26" s="8">
        <v>581</v>
      </c>
      <c r="BC26" s="3">
        <v>331.17</v>
      </c>
      <c r="BD26" s="7">
        <v>43</v>
      </c>
      <c r="BH26" s="8">
        <v>581</v>
      </c>
      <c r="BI26" s="3">
        <v>17.899999999999999</v>
      </c>
      <c r="BJ26" s="3">
        <v>24</v>
      </c>
      <c r="BK26" s="3">
        <v>331.17</v>
      </c>
      <c r="BW26" s="7">
        <v>35</v>
      </c>
      <c r="BX26" s="3">
        <v>6</v>
      </c>
      <c r="BY26" s="8">
        <v>1.6</v>
      </c>
      <c r="BZ26" s="6">
        <v>285.71428571428567</v>
      </c>
      <c r="CA26" s="6">
        <v>40</v>
      </c>
      <c r="CB26" s="7">
        <v>86</v>
      </c>
      <c r="CC26">
        <f t="shared" si="1"/>
        <v>40</v>
      </c>
      <c r="CE26" s="6">
        <v>285.71428571428567</v>
      </c>
      <c r="CF26" s="7">
        <v>35</v>
      </c>
      <c r="CG26" s="3">
        <v>6</v>
      </c>
      <c r="CH26" s="6">
        <v>40</v>
      </c>
      <c r="CY26" s="3">
        <v>14</v>
      </c>
      <c r="CZ26" s="9">
        <v>42.016806722689076</v>
      </c>
      <c r="DA26" s="7"/>
      <c r="DB26" s="3"/>
      <c r="DE26" s="7">
        <v>9</v>
      </c>
      <c r="DF26" s="7">
        <v>67.5</v>
      </c>
    </row>
    <row r="27" spans="1:110" ht="15" x14ac:dyDescent="0.25">
      <c r="A27" s="3">
        <v>18.5</v>
      </c>
      <c r="B27" s="3"/>
      <c r="C27" s="3"/>
      <c r="D27" s="3">
        <v>27</v>
      </c>
      <c r="E27" s="8">
        <v>0.46044444444444443</v>
      </c>
      <c r="F27" s="7">
        <v>91</v>
      </c>
      <c r="G27" s="7">
        <v>54</v>
      </c>
      <c r="H27" s="7" t="s">
        <v>48</v>
      </c>
      <c r="I27" s="7" t="s">
        <v>48</v>
      </c>
      <c r="K27" s="3">
        <v>18</v>
      </c>
      <c r="L27" s="3">
        <v>24</v>
      </c>
      <c r="M27" s="12" t="s">
        <v>144</v>
      </c>
      <c r="N27" s="7">
        <v>72</v>
      </c>
      <c r="O27" t="s">
        <v>48</v>
      </c>
      <c r="R27" s="16">
        <v>28.2</v>
      </c>
      <c r="S27" s="3">
        <v>30</v>
      </c>
      <c r="T27" s="8">
        <v>0.47119999999999995</v>
      </c>
      <c r="U27" s="7">
        <v>95</v>
      </c>
      <c r="AA27" s="8">
        <v>0.43680000000000008</v>
      </c>
      <c r="AB27" s="7">
        <v>91</v>
      </c>
      <c r="AL27" s="16">
        <v>28.5</v>
      </c>
      <c r="AM27" s="3">
        <v>30</v>
      </c>
      <c r="AN27" s="8">
        <v>0.43680000000000008</v>
      </c>
      <c r="AO27" s="7">
        <v>91</v>
      </c>
      <c r="AQ27">
        <f t="shared" si="0"/>
        <v>373.46400000000006</v>
      </c>
      <c r="AR27" s="7">
        <v>91</v>
      </c>
      <c r="AW27" s="3">
        <v>18.5</v>
      </c>
      <c r="AX27" s="3"/>
      <c r="AY27" s="3"/>
      <c r="AZ27" s="3">
        <v>27</v>
      </c>
      <c r="BA27" s="8">
        <v>0.46044444444444443</v>
      </c>
      <c r="BB27" s="8">
        <v>518</v>
      </c>
      <c r="BC27" s="3">
        <v>238.27999999999997</v>
      </c>
      <c r="BD27" s="7">
        <v>54</v>
      </c>
      <c r="BH27" s="8">
        <v>518</v>
      </c>
      <c r="BI27" s="3">
        <v>18.5</v>
      </c>
      <c r="BJ27" s="3">
        <v>27</v>
      </c>
      <c r="BK27" s="3">
        <v>238.27999999999997</v>
      </c>
      <c r="BW27" s="7">
        <v>25.1</v>
      </c>
      <c r="BX27" s="3">
        <v>24</v>
      </c>
      <c r="BY27" s="8">
        <v>0.66900000000000004</v>
      </c>
      <c r="BZ27" s="6">
        <v>297.22222222222211</v>
      </c>
      <c r="CA27" s="6">
        <v>53.5</v>
      </c>
      <c r="CB27" s="7">
        <v>82</v>
      </c>
      <c r="CC27">
        <f t="shared" si="1"/>
        <v>53.5</v>
      </c>
      <c r="CE27" s="6">
        <v>297.22222222222211</v>
      </c>
      <c r="CF27" s="7">
        <v>25.1</v>
      </c>
      <c r="CG27" s="3">
        <v>24</v>
      </c>
      <c r="CH27" s="6">
        <v>53.5</v>
      </c>
      <c r="CY27" s="7">
        <v>17</v>
      </c>
      <c r="CZ27" s="7">
        <v>86</v>
      </c>
      <c r="DA27" s="7"/>
      <c r="DB27" s="3"/>
      <c r="DE27" s="3">
        <v>9</v>
      </c>
      <c r="DF27">
        <v>68</v>
      </c>
    </row>
    <row r="28" spans="1:110" ht="15" x14ac:dyDescent="0.25">
      <c r="A28" s="3">
        <v>18</v>
      </c>
      <c r="B28" s="3"/>
      <c r="C28" s="3"/>
      <c r="D28" s="3">
        <v>12</v>
      </c>
      <c r="E28" s="12" t="s">
        <v>141</v>
      </c>
      <c r="F28" s="7" t="s">
        <v>48</v>
      </c>
      <c r="G28" s="7">
        <v>43</v>
      </c>
      <c r="H28" s="7" t="s">
        <v>48</v>
      </c>
      <c r="I28" s="7" t="s">
        <v>48</v>
      </c>
      <c r="K28" s="3">
        <v>18.5</v>
      </c>
      <c r="L28" s="3">
        <v>27</v>
      </c>
      <c r="M28" s="8">
        <v>0.46044444444444443</v>
      </c>
      <c r="N28" s="7">
        <v>54</v>
      </c>
      <c r="O28" t="s">
        <v>48</v>
      </c>
      <c r="R28" s="16">
        <v>28.5</v>
      </c>
      <c r="S28" s="3">
        <v>30</v>
      </c>
      <c r="T28" s="8">
        <v>0.43680000000000008</v>
      </c>
      <c r="U28" s="7">
        <v>90</v>
      </c>
      <c r="AA28" s="8">
        <v>0.46044444444444443</v>
      </c>
      <c r="AB28" s="7">
        <v>54</v>
      </c>
      <c r="AL28" s="3">
        <v>18.5</v>
      </c>
      <c r="AM28" s="3">
        <v>27</v>
      </c>
      <c r="AN28" s="8">
        <v>0.46044444444444443</v>
      </c>
      <c r="AO28" s="7">
        <v>54</v>
      </c>
      <c r="AQ28">
        <f t="shared" si="0"/>
        <v>229.99199999999999</v>
      </c>
      <c r="AR28" s="7">
        <v>54</v>
      </c>
      <c r="AW28" s="3">
        <v>18</v>
      </c>
      <c r="AX28" s="3"/>
      <c r="AY28" s="3"/>
      <c r="AZ28" s="3">
        <v>12</v>
      </c>
      <c r="BA28" s="12" t="s">
        <v>141</v>
      </c>
      <c r="BB28" s="12">
        <v>871.5</v>
      </c>
      <c r="BC28" s="3">
        <v>496.755</v>
      </c>
      <c r="BD28" s="7">
        <v>43</v>
      </c>
      <c r="BH28" s="12">
        <v>871.5</v>
      </c>
      <c r="BI28" s="3">
        <v>18</v>
      </c>
      <c r="BJ28" s="3">
        <v>12</v>
      </c>
      <c r="BK28" s="3">
        <v>496.755</v>
      </c>
      <c r="BW28" s="7">
        <v>23.3</v>
      </c>
      <c r="BX28" s="3">
        <v>18</v>
      </c>
      <c r="BY28" s="8">
        <v>0.95799999999999996</v>
      </c>
      <c r="BZ28" s="6">
        <v>246.76806083650192</v>
      </c>
      <c r="CA28" s="6">
        <v>64.900000000000006</v>
      </c>
      <c r="CB28" s="7">
        <v>73.7</v>
      </c>
      <c r="CC28">
        <f t="shared" si="1"/>
        <v>64.900000000000006</v>
      </c>
      <c r="CE28" s="6">
        <v>246.76806083650192</v>
      </c>
      <c r="CF28" s="7">
        <v>23.3</v>
      </c>
      <c r="CG28" s="3">
        <v>18</v>
      </c>
      <c r="CH28" s="6">
        <v>64.900000000000006</v>
      </c>
      <c r="CY28" s="3"/>
      <c r="CZ28" s="7"/>
      <c r="DB28" s="3"/>
      <c r="DE28" s="7">
        <v>9</v>
      </c>
      <c r="DF28" s="7">
        <v>75.599999999999994</v>
      </c>
    </row>
    <row r="29" spans="1:110" ht="15" x14ac:dyDescent="0.25">
      <c r="A29" s="3">
        <v>18</v>
      </c>
      <c r="B29" s="3"/>
      <c r="C29" s="3"/>
      <c r="D29" s="3">
        <v>24</v>
      </c>
      <c r="E29" s="12" t="s">
        <v>144</v>
      </c>
      <c r="F29" s="7" t="s">
        <v>48</v>
      </c>
      <c r="G29" s="7">
        <v>72</v>
      </c>
      <c r="H29" s="7" t="s">
        <v>48</v>
      </c>
      <c r="I29" s="7" t="s">
        <v>48</v>
      </c>
      <c r="K29" s="29">
        <v>19</v>
      </c>
      <c r="L29" s="3">
        <v>12.8</v>
      </c>
      <c r="M29" s="8">
        <v>0.35062500000000002</v>
      </c>
      <c r="N29" s="7">
        <v>67</v>
      </c>
      <c r="O29">
        <v>10.986122886681098</v>
      </c>
      <c r="R29" s="10">
        <v>30</v>
      </c>
      <c r="S29" s="3">
        <v>20</v>
      </c>
      <c r="T29" s="12"/>
      <c r="U29" s="7">
        <v>89</v>
      </c>
      <c r="AA29" s="8">
        <v>0.46195000000000003</v>
      </c>
      <c r="AB29" s="7">
        <v>70.099999999999994</v>
      </c>
      <c r="AL29" s="3">
        <v>16.600000000000001</v>
      </c>
      <c r="AM29" s="3">
        <v>48</v>
      </c>
      <c r="AN29" s="8">
        <v>0.46195000000000003</v>
      </c>
      <c r="AO29" s="7">
        <v>70.099999999999994</v>
      </c>
      <c r="AQ29">
        <f t="shared" si="0"/>
        <v>368.08176000000003</v>
      </c>
      <c r="AR29" s="7">
        <v>70.099999999999994</v>
      </c>
      <c r="AW29" s="3">
        <v>18</v>
      </c>
      <c r="AX29" s="3"/>
      <c r="AY29" s="3"/>
      <c r="AZ29" s="3">
        <v>24</v>
      </c>
      <c r="BA29" s="12" t="s">
        <v>144</v>
      </c>
      <c r="BB29" s="12">
        <v>871.5</v>
      </c>
      <c r="BC29" s="3">
        <v>244.01999999999998</v>
      </c>
      <c r="BD29" s="7">
        <v>72</v>
      </c>
      <c r="BH29" s="12">
        <v>871.5</v>
      </c>
      <c r="BI29" s="3">
        <v>18</v>
      </c>
      <c r="BJ29" s="3">
        <v>24</v>
      </c>
      <c r="BK29" s="3">
        <v>244.01999999999998</v>
      </c>
      <c r="BW29" s="7">
        <v>23</v>
      </c>
      <c r="BX29" s="3">
        <v>12</v>
      </c>
      <c r="BY29" s="8">
        <v>1.3</v>
      </c>
      <c r="BZ29" s="6">
        <v>249.83050847457625</v>
      </c>
      <c r="CA29" s="6">
        <v>73.7</v>
      </c>
      <c r="CB29" s="7">
        <v>70.5</v>
      </c>
      <c r="CC29">
        <f t="shared" si="1"/>
        <v>73.700000000000017</v>
      </c>
      <c r="CE29" s="6">
        <v>249.83050847457625</v>
      </c>
      <c r="CF29" s="7">
        <v>23</v>
      </c>
      <c r="CG29" s="3">
        <v>12</v>
      </c>
      <c r="CH29" s="6">
        <v>73.7</v>
      </c>
      <c r="CY29" s="3"/>
      <c r="CZ29" s="10">
        <f>PEARSON(CY2:CY27,CZ2:CZ27)</f>
        <v>-0.32417864330367435</v>
      </c>
      <c r="DB29" s="3"/>
      <c r="DE29" s="7">
        <v>9</v>
      </c>
      <c r="DF29" s="7">
        <v>79.7</v>
      </c>
    </row>
    <row r="30" spans="1:110" ht="15" x14ac:dyDescent="0.25">
      <c r="A30" s="3">
        <v>16</v>
      </c>
      <c r="B30" s="3">
        <v>5</v>
      </c>
      <c r="C30" s="10">
        <v>1.2698412698412697E-2</v>
      </c>
      <c r="D30" s="3">
        <v>36</v>
      </c>
      <c r="E30" s="12">
        <v>0.21199999999999999</v>
      </c>
      <c r="F30" s="7" t="s">
        <v>48</v>
      </c>
      <c r="G30" s="7">
        <v>54.104477611940297</v>
      </c>
      <c r="H30" s="7" t="s">
        <v>48</v>
      </c>
      <c r="I30" s="7">
        <v>8.7888983093448783</v>
      </c>
      <c r="K30" s="4">
        <v>19</v>
      </c>
      <c r="L30" s="3">
        <v>24</v>
      </c>
      <c r="M30" s="8">
        <v>0.41100000000000003</v>
      </c>
      <c r="N30" s="6">
        <v>76</v>
      </c>
      <c r="O30" t="s">
        <v>48</v>
      </c>
      <c r="R30" s="7">
        <v>30</v>
      </c>
      <c r="S30" s="3">
        <v>24</v>
      </c>
      <c r="T30" s="8">
        <v>0.57999999999999996</v>
      </c>
      <c r="U30" s="7">
        <v>90</v>
      </c>
      <c r="AA30" s="8">
        <v>0.47119999999999995</v>
      </c>
      <c r="AB30" s="7">
        <v>88</v>
      </c>
      <c r="AL30" s="16">
        <v>28.2</v>
      </c>
      <c r="AM30" s="3">
        <v>30</v>
      </c>
      <c r="AN30" s="8">
        <v>0.47119999999999995</v>
      </c>
      <c r="AO30" s="7">
        <v>88</v>
      </c>
      <c r="AQ30">
        <f t="shared" si="0"/>
        <v>398.63519999999994</v>
      </c>
      <c r="AR30" s="7">
        <v>88</v>
      </c>
      <c r="AW30" s="3">
        <v>16</v>
      </c>
      <c r="AX30" s="3">
        <v>5</v>
      </c>
      <c r="AY30" s="10">
        <v>1.2698412698412697E-2</v>
      </c>
      <c r="AZ30" s="3">
        <v>36</v>
      </c>
      <c r="BA30" s="12">
        <v>0.21199999999999999</v>
      </c>
      <c r="BB30" s="12">
        <v>268</v>
      </c>
      <c r="BC30" s="3">
        <v>123</v>
      </c>
      <c r="BD30" s="7">
        <v>54.104477611940297</v>
      </c>
      <c r="BH30" s="12">
        <v>268</v>
      </c>
      <c r="BI30" s="3">
        <v>16</v>
      </c>
      <c r="BJ30" s="3">
        <v>36</v>
      </c>
      <c r="BK30" s="3">
        <v>123</v>
      </c>
      <c r="BW30" s="7">
        <v>24</v>
      </c>
      <c r="BX30" s="3">
        <v>8</v>
      </c>
      <c r="BY30" s="8">
        <v>2.1</v>
      </c>
      <c r="BZ30" s="6">
        <v>217.36334405144697</v>
      </c>
      <c r="CA30" s="6">
        <v>67.599999999999994</v>
      </c>
      <c r="CB30" s="7">
        <v>68.900000000000006</v>
      </c>
      <c r="CC30">
        <f t="shared" si="1"/>
        <v>67.599999999999994</v>
      </c>
      <c r="CE30" s="6">
        <v>217.36334405144697</v>
      </c>
      <c r="CF30" s="7">
        <v>24</v>
      </c>
      <c r="CG30" s="3">
        <v>8</v>
      </c>
      <c r="CH30" s="6">
        <v>67.599999999999994</v>
      </c>
      <c r="CY30" s="3"/>
      <c r="CZ30" s="7"/>
      <c r="DB30" s="44"/>
      <c r="DE30" s="7">
        <v>9</v>
      </c>
      <c r="DF30" s="7">
        <v>82</v>
      </c>
    </row>
    <row r="31" spans="1:110" ht="15" x14ac:dyDescent="0.25">
      <c r="A31" s="3">
        <v>16</v>
      </c>
      <c r="B31" s="3">
        <v>5</v>
      </c>
      <c r="C31" s="10">
        <v>1.9047619047619046E-2</v>
      </c>
      <c r="D31" s="3">
        <v>24</v>
      </c>
      <c r="E31" s="12">
        <v>0.318</v>
      </c>
      <c r="F31" s="7" t="s">
        <v>48</v>
      </c>
      <c r="G31" s="7">
        <v>58.536585365853654</v>
      </c>
      <c r="H31" s="7" t="s">
        <v>48</v>
      </c>
      <c r="I31" s="7">
        <v>8.7888983093448783</v>
      </c>
      <c r="K31">
        <v>20</v>
      </c>
      <c r="L31">
        <v>48</v>
      </c>
      <c r="M31" s="8">
        <v>0.12919999999999998</v>
      </c>
      <c r="N31">
        <v>59</v>
      </c>
      <c r="O31">
        <v>13.183347464017316</v>
      </c>
      <c r="R31" s="7">
        <v>35</v>
      </c>
      <c r="S31" s="3">
        <v>6</v>
      </c>
      <c r="T31" s="8">
        <v>1.6</v>
      </c>
      <c r="U31" s="7">
        <v>86</v>
      </c>
      <c r="AA31" s="8">
        <v>0.49</v>
      </c>
      <c r="AB31" s="7">
        <v>75</v>
      </c>
      <c r="AL31" s="29">
        <v>24</v>
      </c>
      <c r="AM31" s="3">
        <v>8.5500000000000007</v>
      </c>
      <c r="AN31" s="8">
        <v>0.49</v>
      </c>
      <c r="AO31" s="7">
        <v>75</v>
      </c>
      <c r="AQ31">
        <f t="shared" si="0"/>
        <v>100.548</v>
      </c>
      <c r="AR31" s="7">
        <v>75</v>
      </c>
      <c r="AW31" s="3">
        <v>16</v>
      </c>
      <c r="AX31" s="3">
        <v>5</v>
      </c>
      <c r="AY31" s="10">
        <v>1.9047619047619046E-2</v>
      </c>
      <c r="AZ31" s="3">
        <v>24</v>
      </c>
      <c r="BA31" s="12">
        <v>0.318</v>
      </c>
      <c r="BB31" s="12">
        <v>246</v>
      </c>
      <c r="BC31" s="3">
        <v>102</v>
      </c>
      <c r="BD31" s="7">
        <v>58.536585365853654</v>
      </c>
      <c r="BH31" s="12">
        <v>246</v>
      </c>
      <c r="BI31" s="3">
        <v>16</v>
      </c>
      <c r="BJ31" s="3">
        <v>24</v>
      </c>
      <c r="BK31" s="3">
        <v>102</v>
      </c>
      <c r="CY31" s="3"/>
      <c r="CZ31" s="7"/>
      <c r="DB31" s="44"/>
      <c r="DE31" s="7">
        <v>10</v>
      </c>
      <c r="DF31" s="7">
        <v>27.252252252252251</v>
      </c>
    </row>
    <row r="32" spans="1:110" ht="15" x14ac:dyDescent="0.25">
      <c r="A32" s="3">
        <v>16</v>
      </c>
      <c r="B32" s="3">
        <v>5</v>
      </c>
      <c r="C32" s="10">
        <v>3.8095238095238092E-2</v>
      </c>
      <c r="D32" s="3">
        <v>12</v>
      </c>
      <c r="E32" s="12">
        <v>0.63600000000000001</v>
      </c>
      <c r="F32" s="7" t="s">
        <v>48</v>
      </c>
      <c r="G32" s="7">
        <v>56.000000000000007</v>
      </c>
      <c r="H32" s="7" t="s">
        <v>48</v>
      </c>
      <c r="I32" s="7">
        <v>8.7888983093448783</v>
      </c>
      <c r="K32">
        <v>20</v>
      </c>
      <c r="L32">
        <v>72</v>
      </c>
      <c r="M32" s="8">
        <v>8.613333333333334E-2</v>
      </c>
      <c r="N32">
        <v>64</v>
      </c>
      <c r="O32">
        <v>13.183347464017316</v>
      </c>
      <c r="T32" s="8"/>
      <c r="U32" s="7"/>
      <c r="AA32" s="8">
        <v>0.57999999999999996</v>
      </c>
      <c r="AB32" s="7">
        <v>90</v>
      </c>
      <c r="AL32" s="7">
        <v>30</v>
      </c>
      <c r="AM32" s="3">
        <v>24</v>
      </c>
      <c r="AN32" s="8">
        <v>0.57999999999999996</v>
      </c>
      <c r="AO32" s="7">
        <v>90</v>
      </c>
      <c r="AQ32">
        <f t="shared" si="0"/>
        <v>417.59999999999997</v>
      </c>
      <c r="AR32" s="7">
        <v>90</v>
      </c>
      <c r="AW32" s="3">
        <v>16</v>
      </c>
      <c r="AX32" s="3">
        <v>5</v>
      </c>
      <c r="AY32" s="10">
        <v>3.8095238095238092E-2</v>
      </c>
      <c r="AZ32" s="3">
        <v>12</v>
      </c>
      <c r="BA32" s="12">
        <v>0.63600000000000001</v>
      </c>
      <c r="BB32" s="12">
        <v>325</v>
      </c>
      <c r="BC32" s="3">
        <v>142.99999999999997</v>
      </c>
      <c r="BD32" s="7">
        <v>56.000000000000007</v>
      </c>
      <c r="BH32" s="12">
        <v>325</v>
      </c>
      <c r="BI32" s="3">
        <v>16</v>
      </c>
      <c r="BJ32" s="3">
        <v>12</v>
      </c>
      <c r="BK32" s="3">
        <v>142.99999999999997</v>
      </c>
      <c r="BV32" s="3"/>
      <c r="BW32" s="3"/>
      <c r="BX32" s="12"/>
      <c r="BY32" s="6"/>
      <c r="BZ32" s="6"/>
      <c r="CA32" s="7"/>
      <c r="CF32" t="s">
        <v>195</v>
      </c>
      <c r="CY32" s="3"/>
      <c r="CZ32" s="7"/>
      <c r="DB32" s="44"/>
      <c r="DE32" s="7">
        <v>10</v>
      </c>
      <c r="DF32" s="7">
        <v>53.257790368271948</v>
      </c>
    </row>
    <row r="33" spans="1:110" ht="15" x14ac:dyDescent="0.25">
      <c r="A33" s="16">
        <v>10.5</v>
      </c>
      <c r="B33" s="7">
        <v>2</v>
      </c>
      <c r="C33" s="10" t="s">
        <v>48</v>
      </c>
      <c r="D33" s="3">
        <v>55.2</v>
      </c>
      <c r="E33" s="8"/>
      <c r="F33" s="9">
        <v>71.119133574007222</v>
      </c>
      <c r="G33" s="9">
        <v>47.006651884700666</v>
      </c>
      <c r="H33">
        <v>1.5800000000000002E-2</v>
      </c>
      <c r="I33">
        <v>5.4930614433405491</v>
      </c>
      <c r="K33">
        <v>20</v>
      </c>
      <c r="L33">
        <v>96</v>
      </c>
      <c r="M33" s="8">
        <v>6.4599999999999991E-2</v>
      </c>
      <c r="N33">
        <v>67</v>
      </c>
      <c r="O33">
        <v>13.183347464017316</v>
      </c>
      <c r="T33" s="8"/>
      <c r="U33" s="7"/>
      <c r="AA33" s="8">
        <v>0.58099999999999996</v>
      </c>
      <c r="AB33" s="7">
        <v>43</v>
      </c>
      <c r="AL33" s="3">
        <v>17.899999999999999</v>
      </c>
      <c r="AM33" s="3">
        <v>24</v>
      </c>
      <c r="AN33" s="8">
        <v>0.58099999999999996</v>
      </c>
      <c r="AO33" s="7">
        <v>43</v>
      </c>
      <c r="AQ33">
        <f t="shared" si="0"/>
        <v>249.59759999999997</v>
      </c>
      <c r="AR33" s="7">
        <v>43</v>
      </c>
      <c r="AW33" s="16">
        <v>10.5</v>
      </c>
      <c r="AX33" s="7">
        <v>2</v>
      </c>
      <c r="AY33" s="10" t="s">
        <v>48</v>
      </c>
      <c r="AZ33" s="3">
        <v>55.2</v>
      </c>
      <c r="BA33" s="8">
        <v>0.19608695652173913</v>
      </c>
      <c r="BB33" s="8">
        <v>451</v>
      </c>
      <c r="BC33" s="3">
        <v>239</v>
      </c>
      <c r="BD33" s="9">
        <v>47.006651884700666</v>
      </c>
      <c r="BH33" s="8">
        <v>451</v>
      </c>
      <c r="BI33" s="16">
        <v>10.5</v>
      </c>
      <c r="BJ33" s="3">
        <v>55.2</v>
      </c>
      <c r="BK33" s="3">
        <v>239</v>
      </c>
      <c r="CY33" s="3"/>
      <c r="CZ33" s="7"/>
      <c r="DE33" s="7">
        <v>10</v>
      </c>
      <c r="DF33" s="7">
        <v>66.400000000000006</v>
      </c>
    </row>
    <row r="34" spans="1:110" ht="15" x14ac:dyDescent="0.25">
      <c r="A34" s="16">
        <v>10.5</v>
      </c>
      <c r="B34" s="7">
        <v>6</v>
      </c>
      <c r="C34" s="10"/>
      <c r="D34" s="3">
        <v>55.2</v>
      </c>
      <c r="E34" s="8"/>
      <c r="F34" s="9">
        <v>67.148014440433215</v>
      </c>
      <c r="G34" s="9">
        <v>45.676274944567631</v>
      </c>
      <c r="H34">
        <v>8.6999999999999994E-3</v>
      </c>
      <c r="I34">
        <v>9.8875105980129874</v>
      </c>
      <c r="K34">
        <v>20</v>
      </c>
      <c r="L34">
        <v>120</v>
      </c>
      <c r="M34" s="8">
        <v>5.167999999999999E-2</v>
      </c>
      <c r="N34">
        <v>68</v>
      </c>
      <c r="O34">
        <v>13.183347464017316</v>
      </c>
      <c r="T34" s="8"/>
      <c r="U34" s="7"/>
      <c r="AA34" s="12">
        <v>0.63600000000000001</v>
      </c>
      <c r="AB34" s="7">
        <v>56.000000000000007</v>
      </c>
      <c r="AL34" s="3">
        <v>16</v>
      </c>
      <c r="AM34" s="3">
        <v>12</v>
      </c>
      <c r="AN34" s="12">
        <v>0.63600000000000001</v>
      </c>
      <c r="AO34" s="7">
        <v>56.000000000000007</v>
      </c>
      <c r="AQ34">
        <f t="shared" si="0"/>
        <v>122.11199999999999</v>
      </c>
      <c r="AR34" s="7">
        <v>56.000000000000007</v>
      </c>
      <c r="AW34" s="16">
        <v>10.5</v>
      </c>
      <c r="AX34" s="7">
        <v>6</v>
      </c>
      <c r="AY34" s="10"/>
      <c r="AZ34" s="3">
        <v>55.2</v>
      </c>
      <c r="BA34" s="8">
        <v>0.19608695652173913</v>
      </c>
      <c r="BB34" s="8">
        <v>451</v>
      </c>
      <c r="BC34" s="3">
        <v>245</v>
      </c>
      <c r="BD34" s="9">
        <v>45.676274944567631</v>
      </c>
      <c r="BH34" s="8">
        <v>451</v>
      </c>
      <c r="BI34" s="16">
        <v>10.5</v>
      </c>
      <c r="BJ34" s="3">
        <v>55.2</v>
      </c>
      <c r="BK34" s="3">
        <v>245</v>
      </c>
      <c r="CY34" s="3"/>
      <c r="CZ34" s="7"/>
      <c r="DB34" s="41"/>
      <c r="DE34" s="3">
        <v>12</v>
      </c>
      <c r="DF34">
        <v>50</v>
      </c>
    </row>
    <row r="35" spans="1:110" ht="15" x14ac:dyDescent="0.25">
      <c r="A35" s="7">
        <v>30</v>
      </c>
      <c r="B35" s="7">
        <v>2</v>
      </c>
      <c r="C35" s="7"/>
      <c r="D35" s="3">
        <v>24</v>
      </c>
      <c r="E35" s="8">
        <v>0.57999999999999996</v>
      </c>
      <c r="F35" s="7">
        <v>90</v>
      </c>
      <c r="G35" s="7">
        <v>90</v>
      </c>
      <c r="H35" s="7" t="s">
        <v>48</v>
      </c>
      <c r="I35" s="7">
        <v>8.7888983093448783</v>
      </c>
      <c r="K35" s="7">
        <v>23</v>
      </c>
      <c r="L35" s="3">
        <v>12</v>
      </c>
      <c r="M35" s="8">
        <v>1.3</v>
      </c>
      <c r="N35" s="7">
        <v>75.599999999999994</v>
      </c>
      <c r="O35">
        <v>14.281959752685427</v>
      </c>
      <c r="T35" s="8"/>
      <c r="U35" s="7"/>
      <c r="AA35" s="8">
        <v>0.66900000000000004</v>
      </c>
      <c r="AB35" s="7">
        <v>82</v>
      </c>
      <c r="AL35" s="7">
        <v>25.1</v>
      </c>
      <c r="AM35" s="3">
        <v>24</v>
      </c>
      <c r="AN35" s="8">
        <v>0.66900000000000004</v>
      </c>
      <c r="AO35" s="7">
        <v>82</v>
      </c>
      <c r="AQ35">
        <f t="shared" si="0"/>
        <v>403.00560000000007</v>
      </c>
      <c r="AR35" s="7">
        <v>82</v>
      </c>
      <c r="AW35" s="7">
        <v>30</v>
      </c>
      <c r="AX35" s="7">
        <v>2</v>
      </c>
      <c r="AY35" s="7"/>
      <c r="AZ35" s="3">
        <v>24</v>
      </c>
      <c r="BA35" s="8">
        <v>0.57999999999999996</v>
      </c>
      <c r="BB35" s="8">
        <v>580</v>
      </c>
      <c r="BC35" s="3">
        <v>70</v>
      </c>
      <c r="BD35" s="7">
        <v>90</v>
      </c>
      <c r="BH35" s="8">
        <v>580</v>
      </c>
      <c r="BI35" s="7">
        <v>30</v>
      </c>
      <c r="BJ35" s="3">
        <v>24</v>
      </c>
      <c r="BK35" s="3">
        <v>70</v>
      </c>
      <c r="CY35" s="3"/>
      <c r="CZ35" s="7"/>
      <c r="DB35" s="40"/>
      <c r="DE35" s="3">
        <v>12</v>
      </c>
      <c r="DF35">
        <v>56</v>
      </c>
    </row>
    <row r="36" spans="1:110" ht="15" x14ac:dyDescent="0.25">
      <c r="A36" s="10">
        <v>30</v>
      </c>
      <c r="B36" s="7">
        <v>4</v>
      </c>
      <c r="C36" s="7"/>
      <c r="D36" s="3">
        <v>20</v>
      </c>
      <c r="E36" s="12"/>
      <c r="F36" s="7">
        <v>89</v>
      </c>
      <c r="G36" s="7">
        <v>84</v>
      </c>
      <c r="H36" s="7" t="s">
        <v>48</v>
      </c>
      <c r="I36" s="7">
        <v>9.8875105980129874</v>
      </c>
      <c r="K36" s="7">
        <v>23.3</v>
      </c>
      <c r="L36" s="3">
        <v>18</v>
      </c>
      <c r="M36" s="8">
        <v>0.95799999999999996</v>
      </c>
      <c r="N36" s="7">
        <v>79.7</v>
      </c>
      <c r="O36">
        <v>14.281959752685427</v>
      </c>
      <c r="R36" s="29"/>
      <c r="S36" s="3"/>
      <c r="T36" s="8"/>
      <c r="U36" s="3"/>
      <c r="AA36" s="8">
        <v>0.74999999999999989</v>
      </c>
      <c r="AB36">
        <v>50</v>
      </c>
      <c r="AL36" s="3">
        <v>15</v>
      </c>
      <c r="AM36">
        <v>12</v>
      </c>
      <c r="AN36" s="8">
        <v>0.74999999999999989</v>
      </c>
      <c r="AO36">
        <v>50</v>
      </c>
      <c r="AQ36">
        <f t="shared" si="0"/>
        <v>134.99999999999997</v>
      </c>
      <c r="AR36">
        <v>50</v>
      </c>
      <c r="AW36" s="25">
        <v>26</v>
      </c>
      <c r="AX36" s="7">
        <v>1</v>
      </c>
      <c r="AY36" s="7"/>
      <c r="AZ36" s="3">
        <v>24</v>
      </c>
      <c r="BA36" s="8">
        <v>0.41100000000000003</v>
      </c>
      <c r="BB36" s="8">
        <v>411</v>
      </c>
      <c r="BC36" s="3">
        <v>44.1</v>
      </c>
      <c r="BD36" s="7">
        <v>88.6</v>
      </c>
      <c r="BH36" s="8">
        <v>411</v>
      </c>
      <c r="BI36" s="25">
        <v>26</v>
      </c>
      <c r="BJ36" s="3">
        <v>24</v>
      </c>
      <c r="BK36" s="3">
        <v>44.1</v>
      </c>
      <c r="CY36" s="3"/>
      <c r="CZ36" s="7"/>
      <c r="DA36" s="7"/>
      <c r="DB36" s="40"/>
      <c r="DE36" s="3">
        <v>12</v>
      </c>
      <c r="DF36">
        <v>60</v>
      </c>
    </row>
    <row r="37" spans="1:110" ht="15" x14ac:dyDescent="0.25">
      <c r="A37" s="10">
        <v>26</v>
      </c>
      <c r="B37" s="7">
        <v>1</v>
      </c>
      <c r="C37" s="7"/>
      <c r="D37" s="3">
        <v>24</v>
      </c>
      <c r="E37" s="8">
        <v>0.41100000000000003</v>
      </c>
      <c r="F37" s="7">
        <v>91.2</v>
      </c>
      <c r="G37" s="7">
        <v>88.6</v>
      </c>
      <c r="H37" s="7" t="s">
        <v>48</v>
      </c>
      <c r="I37" s="7">
        <v>9.8875105980129874</v>
      </c>
      <c r="K37" s="10">
        <v>23.4</v>
      </c>
      <c r="L37" s="3">
        <v>10</v>
      </c>
      <c r="M37" s="8">
        <v>1.0656000000000001</v>
      </c>
      <c r="N37" s="7">
        <v>27.252252252252251</v>
      </c>
      <c r="O37" t="s">
        <v>48</v>
      </c>
      <c r="R37" s="3"/>
      <c r="S37" s="3"/>
      <c r="T37" s="12"/>
      <c r="U37" s="7"/>
      <c r="AA37" s="8">
        <v>0.75199999999999989</v>
      </c>
      <c r="AB37">
        <v>48</v>
      </c>
      <c r="AL37" s="3">
        <v>15</v>
      </c>
      <c r="AM37">
        <v>12</v>
      </c>
      <c r="AN37" s="8">
        <v>0.75199999999999989</v>
      </c>
      <c r="AO37">
        <v>48</v>
      </c>
      <c r="AQ37">
        <f t="shared" si="0"/>
        <v>135.35999999999999</v>
      </c>
      <c r="AR37">
        <v>48</v>
      </c>
      <c r="AW37" s="16">
        <v>28.5</v>
      </c>
      <c r="AX37" s="7">
        <v>13</v>
      </c>
      <c r="AY37" s="7"/>
      <c r="AZ37" s="3">
        <v>30</v>
      </c>
      <c r="BA37" s="8">
        <v>0.43680000000000008</v>
      </c>
      <c r="BB37" s="8">
        <v>546</v>
      </c>
      <c r="BC37" s="3">
        <v>45</v>
      </c>
      <c r="BD37" s="7">
        <v>91</v>
      </c>
      <c r="BH37" s="8">
        <v>546</v>
      </c>
      <c r="BI37" s="16">
        <v>28.5</v>
      </c>
      <c r="BJ37" s="3">
        <v>30</v>
      </c>
      <c r="BK37" s="3">
        <v>45</v>
      </c>
      <c r="CY37" s="3"/>
      <c r="CZ37" s="7"/>
      <c r="DA37" s="7"/>
      <c r="DB37" s="40"/>
      <c r="DE37" s="7">
        <v>13</v>
      </c>
      <c r="DF37" s="7">
        <v>88</v>
      </c>
    </row>
    <row r="38" spans="1:110" ht="15" x14ac:dyDescent="0.25">
      <c r="A38" s="16">
        <v>28.5</v>
      </c>
      <c r="B38" s="7">
        <v>13</v>
      </c>
      <c r="C38" s="7"/>
      <c r="D38" s="3">
        <v>30</v>
      </c>
      <c r="E38" s="8">
        <v>0.43680000000000008</v>
      </c>
      <c r="F38" s="7">
        <v>90</v>
      </c>
      <c r="G38" s="7">
        <v>91</v>
      </c>
      <c r="H38" s="7" t="s">
        <v>48</v>
      </c>
      <c r="I38" s="7">
        <v>20.873633484694086</v>
      </c>
      <c r="K38" s="10">
        <v>23.4</v>
      </c>
      <c r="L38" s="3">
        <v>10</v>
      </c>
      <c r="M38" s="8">
        <v>0.84720000000000006</v>
      </c>
      <c r="N38" s="7">
        <v>53.257790368271948</v>
      </c>
      <c r="O38" t="s">
        <v>48</v>
      </c>
      <c r="R38" s="3"/>
      <c r="S38" s="3"/>
      <c r="T38" s="12"/>
      <c r="U38" s="7"/>
      <c r="AA38" s="8">
        <v>0.84720000000000006</v>
      </c>
      <c r="AB38" s="7">
        <v>53.257790368271948</v>
      </c>
      <c r="AL38" s="10">
        <v>23.4</v>
      </c>
      <c r="AM38" s="3">
        <v>10</v>
      </c>
      <c r="AN38" s="8">
        <v>0.84720000000000006</v>
      </c>
      <c r="AO38" s="7">
        <v>53.257790368271948</v>
      </c>
      <c r="AQ38">
        <f t="shared" si="0"/>
        <v>198.24480000000003</v>
      </c>
      <c r="AR38" s="7">
        <v>53.257790368271948</v>
      </c>
      <c r="AW38" s="16">
        <v>28.2</v>
      </c>
      <c r="AX38" s="7">
        <v>13</v>
      </c>
      <c r="AY38" s="7"/>
      <c r="AZ38" s="3">
        <v>30</v>
      </c>
      <c r="BA38" s="8">
        <v>0.47119999999999995</v>
      </c>
      <c r="BB38" s="8">
        <v>589</v>
      </c>
      <c r="BC38" s="3">
        <v>75</v>
      </c>
      <c r="BD38" s="7">
        <v>88</v>
      </c>
      <c r="BH38" s="8">
        <v>589</v>
      </c>
      <c r="BI38" s="16">
        <v>28.2</v>
      </c>
      <c r="BJ38" s="3">
        <v>30</v>
      </c>
      <c r="BK38" s="3">
        <v>75</v>
      </c>
      <c r="CY38" s="3"/>
      <c r="CZ38" s="7"/>
      <c r="DA38" s="7"/>
      <c r="DB38" s="44"/>
      <c r="DE38" s="7">
        <v>13</v>
      </c>
      <c r="DF38" s="7">
        <v>91</v>
      </c>
    </row>
    <row r="39" spans="1:110" ht="15" x14ac:dyDescent="0.25">
      <c r="A39" s="16">
        <v>28.2</v>
      </c>
      <c r="B39" s="7">
        <v>13</v>
      </c>
      <c r="C39" s="7"/>
      <c r="D39" s="3">
        <v>30</v>
      </c>
      <c r="E39" s="8">
        <v>0.47119999999999995</v>
      </c>
      <c r="F39" s="7">
        <v>95</v>
      </c>
      <c r="G39" s="7">
        <v>88</v>
      </c>
      <c r="H39" s="7" t="s">
        <v>48</v>
      </c>
      <c r="I39" s="7">
        <v>20.873633484694086</v>
      </c>
      <c r="K39" s="7">
        <v>24</v>
      </c>
      <c r="L39" s="3">
        <v>8</v>
      </c>
      <c r="M39" s="8">
        <v>2.1</v>
      </c>
      <c r="N39" s="7">
        <v>67.5</v>
      </c>
      <c r="O39" t="s">
        <v>48</v>
      </c>
      <c r="R39" s="3"/>
      <c r="S39" s="3"/>
      <c r="T39" s="12"/>
      <c r="U39" s="7"/>
      <c r="AA39" s="12">
        <v>0.875</v>
      </c>
      <c r="AB39" s="7">
        <v>72</v>
      </c>
      <c r="AL39">
        <v>27.2</v>
      </c>
      <c r="AM39" s="3">
        <v>24</v>
      </c>
      <c r="AN39">
        <v>0.88500000000000001</v>
      </c>
      <c r="AO39">
        <v>57</v>
      </c>
      <c r="AQ39">
        <f t="shared" si="0"/>
        <v>577.72799999999995</v>
      </c>
      <c r="AR39">
        <v>57</v>
      </c>
      <c r="AW39" s="25">
        <v>23.4</v>
      </c>
      <c r="AX39" s="7">
        <v>10</v>
      </c>
      <c r="AY39" s="7" t="s">
        <v>48</v>
      </c>
      <c r="AZ39" s="3">
        <v>10</v>
      </c>
      <c r="BA39" s="8">
        <v>1.0656000000000001</v>
      </c>
      <c r="BB39" s="8">
        <v>444</v>
      </c>
      <c r="BC39" s="3">
        <v>323</v>
      </c>
      <c r="BD39" s="7">
        <v>27.252252252252251</v>
      </c>
      <c r="BH39" s="8">
        <v>444</v>
      </c>
      <c r="BI39" s="25">
        <v>23.4</v>
      </c>
      <c r="BJ39" s="3">
        <v>10</v>
      </c>
      <c r="BK39" s="3">
        <v>323</v>
      </c>
      <c r="CY39" s="7"/>
      <c r="CZ39" s="3"/>
      <c r="DA39" s="7"/>
      <c r="DB39" s="44"/>
      <c r="DE39" s="3">
        <v>14</v>
      </c>
      <c r="DF39" s="9">
        <v>22.600619195046441</v>
      </c>
    </row>
    <row r="40" spans="1:110" ht="15" x14ac:dyDescent="0.25">
      <c r="A40" s="10">
        <v>23.4</v>
      </c>
      <c r="B40" s="7">
        <v>10</v>
      </c>
      <c r="C40" s="7" t="s">
        <v>48</v>
      </c>
      <c r="D40" s="3">
        <v>10</v>
      </c>
      <c r="E40" s="8">
        <v>1.0656000000000001</v>
      </c>
      <c r="F40" s="3" t="s">
        <v>48</v>
      </c>
      <c r="G40" s="7">
        <v>27.252252252252251</v>
      </c>
      <c r="H40" s="7" t="s">
        <v>48</v>
      </c>
      <c r="I40" s="7" t="s">
        <v>48</v>
      </c>
      <c r="K40" s="29">
        <v>24</v>
      </c>
      <c r="L40" s="3">
        <v>8.5500000000000007</v>
      </c>
      <c r="M40" s="8">
        <v>0.49</v>
      </c>
      <c r="N40" s="7">
        <v>75</v>
      </c>
      <c r="O40" t="s">
        <v>48</v>
      </c>
      <c r="R40" s="29"/>
      <c r="S40" s="3"/>
      <c r="T40" s="8"/>
      <c r="U40" s="3"/>
      <c r="AA40">
        <v>0.88500000000000001</v>
      </c>
      <c r="AB40">
        <v>57</v>
      </c>
      <c r="AL40" s="7">
        <v>23.3</v>
      </c>
      <c r="AM40" s="3">
        <v>18</v>
      </c>
      <c r="AN40" s="8">
        <v>0.95799999999999996</v>
      </c>
      <c r="AO40" s="7">
        <v>79.7</v>
      </c>
      <c r="AQ40">
        <f t="shared" si="0"/>
        <v>401.78520000000003</v>
      </c>
      <c r="AR40" s="7">
        <v>79.7</v>
      </c>
      <c r="AW40" s="25">
        <v>23.4</v>
      </c>
      <c r="AX40" s="7">
        <v>10</v>
      </c>
      <c r="AY40" s="7" t="s">
        <v>48</v>
      </c>
      <c r="AZ40" s="3">
        <v>10</v>
      </c>
      <c r="BA40" s="8">
        <v>0.84720000000000006</v>
      </c>
      <c r="BB40" s="8">
        <v>353</v>
      </c>
      <c r="BC40" s="3">
        <v>165</v>
      </c>
      <c r="BD40" s="7">
        <v>53.257790368271948</v>
      </c>
      <c r="BH40" s="8">
        <v>353</v>
      </c>
      <c r="BI40" s="25">
        <v>23.4</v>
      </c>
      <c r="BJ40" s="3">
        <v>10</v>
      </c>
      <c r="BK40" s="3">
        <v>165</v>
      </c>
      <c r="BV40" s="25"/>
      <c r="BW40" s="3"/>
      <c r="BX40" s="8"/>
      <c r="BY40" s="3"/>
      <c r="BZ40" s="3"/>
      <c r="CA40" s="3"/>
      <c r="CY40" s="7"/>
      <c r="CZ40" s="3"/>
      <c r="DA40" s="7"/>
      <c r="DB40" s="44"/>
      <c r="DE40" s="3">
        <v>14</v>
      </c>
      <c r="DF40" s="7">
        <v>24.8</v>
      </c>
    </row>
    <row r="41" spans="1:110" ht="15" x14ac:dyDescent="0.25">
      <c r="A41" s="10">
        <v>23.4</v>
      </c>
      <c r="B41" s="7">
        <v>10</v>
      </c>
      <c r="C41" s="7" t="s">
        <v>48</v>
      </c>
      <c r="D41" s="3">
        <v>10</v>
      </c>
      <c r="E41" s="8">
        <v>0.84720000000000006</v>
      </c>
      <c r="F41" s="3" t="s">
        <v>48</v>
      </c>
      <c r="G41" s="7">
        <v>53.257790368271948</v>
      </c>
      <c r="H41" s="7" t="s">
        <v>48</v>
      </c>
      <c r="I41" s="7" t="s">
        <v>48</v>
      </c>
      <c r="K41" s="29">
        <v>24</v>
      </c>
      <c r="L41" s="3">
        <v>11.1</v>
      </c>
      <c r="M41" s="8">
        <v>0.40432432432432425</v>
      </c>
      <c r="N41" s="7">
        <v>72</v>
      </c>
      <c r="O41">
        <v>14.281959752685427</v>
      </c>
      <c r="R41" s="3"/>
      <c r="S41" s="3"/>
      <c r="T41" s="12"/>
      <c r="U41" s="7"/>
      <c r="AA41" s="8">
        <v>0.95799999999999996</v>
      </c>
      <c r="AB41" s="7">
        <v>79.7</v>
      </c>
      <c r="AL41" s="10">
        <v>23.4</v>
      </c>
      <c r="AM41" s="3">
        <v>10</v>
      </c>
      <c r="AN41" s="8">
        <v>1.0656000000000001</v>
      </c>
      <c r="AO41" s="7">
        <v>27.252252252252251</v>
      </c>
      <c r="AQ41">
        <f t="shared" si="0"/>
        <v>249.35040000000004</v>
      </c>
      <c r="AR41" s="7">
        <v>27.252252252252251</v>
      </c>
      <c r="AW41" s="29">
        <v>13.5</v>
      </c>
      <c r="AX41" s="7">
        <v>17</v>
      </c>
      <c r="AY41" s="7" t="s">
        <v>48</v>
      </c>
      <c r="AZ41" s="3">
        <v>17.8</v>
      </c>
      <c r="BA41" s="8">
        <v>0.38</v>
      </c>
      <c r="BB41" s="8">
        <v>187</v>
      </c>
      <c r="BC41" s="3">
        <v>29.920000000000016</v>
      </c>
      <c r="BD41" s="7">
        <v>84</v>
      </c>
      <c r="BH41" s="8">
        <v>187</v>
      </c>
      <c r="BI41" s="29">
        <v>13.5</v>
      </c>
      <c r="BJ41" s="3">
        <v>17.8</v>
      </c>
      <c r="BK41" s="3">
        <v>29.920000000000016</v>
      </c>
      <c r="BV41" s="25"/>
      <c r="BW41" s="3"/>
      <c r="BX41" s="8"/>
      <c r="BY41" s="3"/>
      <c r="BZ41" s="3"/>
      <c r="CA41" s="3"/>
      <c r="CY41" s="7"/>
      <c r="CZ41" s="3"/>
      <c r="DA41" s="7"/>
      <c r="DB41" s="44"/>
      <c r="DE41" s="7">
        <v>17</v>
      </c>
      <c r="DF41" s="7">
        <v>63</v>
      </c>
    </row>
    <row r="42" spans="1:110" ht="15" x14ac:dyDescent="0.25">
      <c r="A42" s="7">
        <v>30</v>
      </c>
      <c r="B42" s="7">
        <v>10</v>
      </c>
      <c r="C42" s="7" t="s">
        <v>48</v>
      </c>
      <c r="D42" s="3">
        <v>10</v>
      </c>
      <c r="E42" s="8" t="s">
        <v>48</v>
      </c>
      <c r="F42" s="3" t="s">
        <v>48</v>
      </c>
      <c r="G42" s="7">
        <v>66.400000000000006</v>
      </c>
      <c r="H42" s="7" t="s">
        <v>48</v>
      </c>
      <c r="I42" s="7" t="s">
        <v>48</v>
      </c>
      <c r="K42">
        <v>24.1</v>
      </c>
      <c r="L42" s="3">
        <v>48</v>
      </c>
      <c r="M42">
        <v>0.436</v>
      </c>
      <c r="N42">
        <v>64</v>
      </c>
      <c r="O42">
        <v>7.6902860206767683</v>
      </c>
      <c r="R42" s="3"/>
      <c r="S42" s="3"/>
      <c r="T42" s="12"/>
      <c r="U42" s="7"/>
      <c r="AA42" s="8">
        <v>1.0656000000000001</v>
      </c>
      <c r="AB42" s="7">
        <v>27.252252252252251</v>
      </c>
      <c r="AL42">
        <v>18</v>
      </c>
      <c r="AM42">
        <v>12</v>
      </c>
      <c r="AN42">
        <v>1.3</v>
      </c>
      <c r="AO42" s="9">
        <v>43</v>
      </c>
      <c r="AQ42">
        <f t="shared" si="0"/>
        <v>280.8</v>
      </c>
      <c r="AR42" s="9">
        <v>43</v>
      </c>
      <c r="AW42" s="29">
        <v>19</v>
      </c>
      <c r="AX42" s="7">
        <v>17</v>
      </c>
      <c r="AY42" s="7" t="s">
        <v>48</v>
      </c>
      <c r="AZ42" s="3">
        <v>12.8</v>
      </c>
      <c r="BA42" s="8">
        <v>0.35062500000000002</v>
      </c>
      <c r="BB42" s="8">
        <v>187</v>
      </c>
      <c r="BC42" s="3">
        <v>61.709999999999994</v>
      </c>
      <c r="BD42" s="7">
        <v>67</v>
      </c>
      <c r="BH42" s="8">
        <v>187</v>
      </c>
      <c r="BI42" s="29">
        <v>19</v>
      </c>
      <c r="BJ42" s="3">
        <v>12.8</v>
      </c>
      <c r="BK42" s="3">
        <v>61.709999999999994</v>
      </c>
      <c r="BV42" s="7"/>
      <c r="BW42" s="3"/>
      <c r="BX42" s="8"/>
      <c r="BY42" s="3"/>
      <c r="BZ42" s="3"/>
      <c r="CA42" s="3"/>
      <c r="CY42" s="7"/>
      <c r="CZ42" s="3"/>
      <c r="DA42" s="7"/>
      <c r="DB42" s="44"/>
      <c r="DE42" s="7">
        <v>17</v>
      </c>
      <c r="DF42" s="7">
        <v>67</v>
      </c>
    </row>
    <row r="43" spans="1:110" ht="15" x14ac:dyDescent="0.25">
      <c r="A43" s="29">
        <v>13.5</v>
      </c>
      <c r="B43" s="7">
        <v>17</v>
      </c>
      <c r="C43" s="7" t="s">
        <v>48</v>
      </c>
      <c r="D43" s="3">
        <v>17.8</v>
      </c>
      <c r="E43" s="8">
        <v>0.38</v>
      </c>
      <c r="F43" s="3" t="s">
        <v>48</v>
      </c>
      <c r="G43" s="7">
        <v>84</v>
      </c>
      <c r="H43" s="7" t="s">
        <v>48</v>
      </c>
      <c r="I43" s="7" t="s">
        <v>48</v>
      </c>
      <c r="K43" s="7">
        <v>25.1</v>
      </c>
      <c r="L43" s="3">
        <v>24</v>
      </c>
      <c r="M43" s="8">
        <v>0.66900000000000004</v>
      </c>
      <c r="N43" s="7">
        <v>82</v>
      </c>
      <c r="O43">
        <v>14.281959752685427</v>
      </c>
      <c r="R43" s="29"/>
      <c r="S43" s="3"/>
      <c r="T43" s="8"/>
      <c r="U43" s="3"/>
      <c r="AA43">
        <v>1.3</v>
      </c>
      <c r="AB43" s="9">
        <v>43</v>
      </c>
      <c r="AL43" s="7">
        <v>23</v>
      </c>
      <c r="AM43" s="3">
        <v>12</v>
      </c>
      <c r="AN43" s="8">
        <v>1.3</v>
      </c>
      <c r="AO43" s="7">
        <v>75.599999999999994</v>
      </c>
      <c r="AQ43">
        <f t="shared" si="0"/>
        <v>358.8</v>
      </c>
      <c r="AR43" s="7">
        <v>75.599999999999994</v>
      </c>
      <c r="AW43" s="29">
        <v>24</v>
      </c>
      <c r="AX43" s="7">
        <v>17</v>
      </c>
      <c r="AY43" s="7" t="s">
        <v>48</v>
      </c>
      <c r="AZ43" s="3">
        <v>11.1</v>
      </c>
      <c r="BA43" s="8">
        <v>0.40432432432432425</v>
      </c>
      <c r="BB43" s="8">
        <v>187</v>
      </c>
      <c r="BC43" s="3">
        <v>52.360000000000014</v>
      </c>
      <c r="BD43" s="7">
        <v>72</v>
      </c>
      <c r="BH43" s="8">
        <v>187</v>
      </c>
      <c r="BI43" s="29">
        <v>24</v>
      </c>
      <c r="BJ43" s="3">
        <v>11.1</v>
      </c>
      <c r="BK43" s="3">
        <v>52.360000000000014</v>
      </c>
      <c r="BV43" s="29"/>
      <c r="BW43" s="3"/>
      <c r="BX43" s="8"/>
      <c r="BY43" s="6"/>
      <c r="BZ43" s="3"/>
      <c r="CA43" s="3"/>
      <c r="CY43" s="7"/>
      <c r="CZ43" s="3"/>
      <c r="DA43" s="7"/>
      <c r="DB43" s="44"/>
      <c r="DE43" s="7">
        <v>17</v>
      </c>
      <c r="DF43" s="7">
        <v>72</v>
      </c>
    </row>
    <row r="44" spans="1:110" ht="15" x14ac:dyDescent="0.25">
      <c r="A44" s="29">
        <v>19</v>
      </c>
      <c r="B44" s="7">
        <v>17</v>
      </c>
      <c r="C44" s="7" t="s">
        <v>48</v>
      </c>
      <c r="D44" s="3">
        <v>12.8</v>
      </c>
      <c r="E44" s="8">
        <v>0.35062500000000002</v>
      </c>
      <c r="F44" s="3" t="s">
        <v>48</v>
      </c>
      <c r="G44" s="7">
        <v>67</v>
      </c>
      <c r="H44" s="7" t="s">
        <v>48</v>
      </c>
      <c r="I44" s="7" t="s">
        <v>48</v>
      </c>
      <c r="K44" s="10">
        <v>26</v>
      </c>
      <c r="L44" s="3">
        <v>24</v>
      </c>
      <c r="M44" s="8">
        <v>0.41100000000000003</v>
      </c>
      <c r="N44" s="7">
        <v>88.6</v>
      </c>
      <c r="O44">
        <v>9.8875105980129874</v>
      </c>
      <c r="T44" s="8"/>
      <c r="U44" s="7"/>
      <c r="AA44" s="8">
        <v>1.3</v>
      </c>
      <c r="AB44" s="7">
        <v>75.599999999999994</v>
      </c>
      <c r="AL44" s="7">
        <v>35</v>
      </c>
      <c r="AM44" s="3">
        <v>6</v>
      </c>
      <c r="AN44" s="8">
        <v>1.6</v>
      </c>
      <c r="AO44" s="7">
        <v>84</v>
      </c>
      <c r="AQ44">
        <f t="shared" si="0"/>
        <v>336</v>
      </c>
      <c r="AR44" s="7">
        <v>84</v>
      </c>
      <c r="AW44" s="29">
        <v>18</v>
      </c>
      <c r="AX44" s="7">
        <v>17</v>
      </c>
      <c r="AY44" s="7" t="s">
        <v>48</v>
      </c>
      <c r="AZ44" s="3">
        <v>9.5</v>
      </c>
      <c r="BA44" s="8">
        <v>0.31</v>
      </c>
      <c r="BB44" s="8">
        <v>187</v>
      </c>
      <c r="BC44" s="3">
        <v>69.19</v>
      </c>
      <c r="BD44" s="7">
        <v>63</v>
      </c>
      <c r="BH44" s="8">
        <v>187</v>
      </c>
      <c r="BI44" s="29">
        <v>18</v>
      </c>
      <c r="BJ44" s="3">
        <v>9.5</v>
      </c>
      <c r="BK44" s="3">
        <v>69.19</v>
      </c>
      <c r="BV44" s="29"/>
      <c r="BW44" s="3"/>
      <c r="BX44" s="8"/>
      <c r="BY44" s="6"/>
      <c r="BZ44" s="3"/>
      <c r="CA44" s="3"/>
      <c r="CY44" s="7"/>
      <c r="CZ44" s="3"/>
      <c r="DA44" s="7"/>
      <c r="DB44" s="44"/>
      <c r="DE44" s="7">
        <v>17</v>
      </c>
      <c r="DF44" s="7">
        <v>75</v>
      </c>
    </row>
    <row r="45" spans="1:110" ht="15" x14ac:dyDescent="0.25">
      <c r="A45" s="29">
        <v>24</v>
      </c>
      <c r="B45" s="7">
        <v>17</v>
      </c>
      <c r="C45" s="7" t="s">
        <v>48</v>
      </c>
      <c r="D45" s="3">
        <v>11.1</v>
      </c>
      <c r="E45" s="8">
        <v>0.40432432432432425</v>
      </c>
      <c r="F45" s="3" t="s">
        <v>48</v>
      </c>
      <c r="G45" s="7">
        <v>72</v>
      </c>
      <c r="H45" s="7" t="s">
        <v>48</v>
      </c>
      <c r="I45" s="7" t="s">
        <v>48</v>
      </c>
      <c r="K45">
        <v>27.2</v>
      </c>
      <c r="L45" s="3">
        <v>24</v>
      </c>
      <c r="M45">
        <v>0.88500000000000001</v>
      </c>
      <c r="N45">
        <v>57</v>
      </c>
      <c r="O45">
        <v>7.6902860206767683</v>
      </c>
      <c r="T45" s="8"/>
      <c r="U45" s="7"/>
      <c r="AA45" s="8">
        <v>1.6</v>
      </c>
      <c r="AB45" s="7">
        <v>84</v>
      </c>
      <c r="AL45" s="7">
        <v>24</v>
      </c>
      <c r="AM45" s="3">
        <v>8</v>
      </c>
      <c r="AN45" s="8">
        <v>2.1</v>
      </c>
      <c r="AO45" s="7">
        <v>67.5</v>
      </c>
      <c r="AQ45">
        <f t="shared" si="0"/>
        <v>403.20000000000005</v>
      </c>
      <c r="AR45" s="7">
        <v>67.5</v>
      </c>
      <c r="AW45" s="29">
        <v>24</v>
      </c>
      <c r="AX45" s="7">
        <v>17</v>
      </c>
      <c r="AY45" s="7" t="s">
        <v>48</v>
      </c>
      <c r="AZ45" s="3">
        <v>8.5500000000000007</v>
      </c>
      <c r="BA45" s="8">
        <v>0.49</v>
      </c>
      <c r="BB45" s="8">
        <v>187</v>
      </c>
      <c r="BC45" s="3">
        <v>46.75</v>
      </c>
      <c r="BD45" s="7">
        <v>75</v>
      </c>
      <c r="BH45" s="8">
        <v>187</v>
      </c>
      <c r="BI45" s="29">
        <v>24</v>
      </c>
      <c r="BJ45" s="3">
        <v>8.5500000000000007</v>
      </c>
      <c r="BK45" s="3">
        <v>46.75</v>
      </c>
      <c r="BV45" s="29"/>
      <c r="BW45" s="3"/>
      <c r="BX45" s="8"/>
      <c r="BY45" s="6"/>
      <c r="BZ45" s="3"/>
      <c r="CA45" s="3"/>
      <c r="CY45" s="7"/>
      <c r="CZ45" s="3"/>
      <c r="DA45" s="7"/>
      <c r="DB45" s="44"/>
      <c r="DE45" s="7">
        <v>17</v>
      </c>
      <c r="DF45" s="7">
        <v>84</v>
      </c>
    </row>
    <row r="46" spans="1:110" ht="15" x14ac:dyDescent="0.25">
      <c r="A46" s="29">
        <v>18</v>
      </c>
      <c r="B46" s="7">
        <v>17</v>
      </c>
      <c r="C46" s="7" t="s">
        <v>48</v>
      </c>
      <c r="D46" s="3">
        <v>9.5</v>
      </c>
      <c r="E46" s="8">
        <v>0.31</v>
      </c>
      <c r="F46" s="3" t="s">
        <v>48</v>
      </c>
      <c r="G46" s="7">
        <v>63</v>
      </c>
      <c r="H46" s="7" t="s">
        <v>48</v>
      </c>
      <c r="I46" s="7" t="s">
        <v>48</v>
      </c>
      <c r="K46">
        <v>27.8</v>
      </c>
      <c r="L46" s="3">
        <v>72</v>
      </c>
      <c r="M46">
        <v>0.32100000000000001</v>
      </c>
      <c r="N46">
        <v>74</v>
      </c>
      <c r="O46">
        <v>7.6902860206767683</v>
      </c>
      <c r="T46" s="8"/>
      <c r="U46" s="7"/>
      <c r="AA46" s="12">
        <v>1.8</v>
      </c>
      <c r="AB46" s="7">
        <v>43</v>
      </c>
      <c r="AL46" s="3">
        <v>18</v>
      </c>
      <c r="AM46" s="3">
        <v>24</v>
      </c>
      <c r="AN46" s="12">
        <v>0.9</v>
      </c>
      <c r="AO46" s="7">
        <v>72</v>
      </c>
      <c r="AQ46">
        <f t="shared" si="0"/>
        <v>388.8</v>
      </c>
      <c r="AR46" s="7">
        <v>72</v>
      </c>
      <c r="AW46" s="7">
        <v>35</v>
      </c>
      <c r="AX46" s="7">
        <v>17</v>
      </c>
      <c r="AY46" s="10">
        <v>0.22</v>
      </c>
      <c r="AZ46" s="3">
        <v>6</v>
      </c>
      <c r="BA46" s="8">
        <v>1.6</v>
      </c>
      <c r="BB46" s="8">
        <v>400</v>
      </c>
      <c r="BC46" s="3">
        <v>44</v>
      </c>
      <c r="BD46" s="7">
        <v>84</v>
      </c>
      <c r="BH46" s="8">
        <v>400</v>
      </c>
      <c r="BI46" s="7">
        <v>35</v>
      </c>
      <c r="BJ46" s="3">
        <v>6</v>
      </c>
      <c r="BK46" s="3">
        <v>44</v>
      </c>
      <c r="BV46" s="29"/>
      <c r="BW46" s="3"/>
      <c r="BX46" s="8"/>
      <c r="BY46" s="6"/>
      <c r="BZ46" s="3"/>
      <c r="CA46" s="3"/>
      <c r="CY46" s="7"/>
      <c r="CZ46" s="3"/>
      <c r="DA46" s="7"/>
      <c r="DB46" s="44"/>
      <c r="DE46" s="7">
        <v>17</v>
      </c>
      <c r="DF46" s="7">
        <v>84</v>
      </c>
    </row>
    <row r="47" spans="1:110" ht="15" x14ac:dyDescent="0.25">
      <c r="A47" s="29">
        <v>24</v>
      </c>
      <c r="B47" s="7">
        <v>17</v>
      </c>
      <c r="C47" s="7" t="s">
        <v>48</v>
      </c>
      <c r="D47" s="3">
        <v>8.5500000000000007</v>
      </c>
      <c r="E47" s="8">
        <v>0.49</v>
      </c>
      <c r="F47" s="3" t="s">
        <v>48</v>
      </c>
      <c r="G47" s="7">
        <v>75</v>
      </c>
      <c r="H47" s="7" t="s">
        <v>48</v>
      </c>
      <c r="I47" s="7" t="s">
        <v>48</v>
      </c>
      <c r="K47" s="16">
        <v>28.2</v>
      </c>
      <c r="L47" s="3">
        <v>30</v>
      </c>
      <c r="M47" s="8">
        <v>0.47119999999999995</v>
      </c>
      <c r="N47" s="7">
        <v>88</v>
      </c>
      <c r="O47">
        <v>20.873633484694086</v>
      </c>
      <c r="T47" s="8"/>
      <c r="U47" s="7"/>
      <c r="AA47" s="8">
        <v>2.1</v>
      </c>
      <c r="AB47" s="7">
        <v>67.5</v>
      </c>
      <c r="AL47" s="3">
        <v>18</v>
      </c>
      <c r="AM47" s="3">
        <v>12</v>
      </c>
      <c r="AN47" s="12">
        <v>1.8</v>
      </c>
      <c r="AO47" s="7">
        <v>43</v>
      </c>
      <c r="AQ47">
        <f t="shared" si="0"/>
        <v>388.8</v>
      </c>
      <c r="AR47" s="7">
        <v>43</v>
      </c>
      <c r="AW47" s="7">
        <v>25.1</v>
      </c>
      <c r="AX47" s="7">
        <v>9</v>
      </c>
      <c r="AY47" s="7" t="s">
        <v>48</v>
      </c>
      <c r="AZ47" s="3">
        <v>24</v>
      </c>
      <c r="BA47" s="8">
        <v>0.66900000000000004</v>
      </c>
      <c r="BB47" s="8">
        <v>586.66666666666652</v>
      </c>
      <c r="BC47" s="3">
        <v>105.6</v>
      </c>
      <c r="BD47" s="7">
        <v>82</v>
      </c>
      <c r="BH47" s="8">
        <v>586.66666666666652</v>
      </c>
      <c r="BI47" s="7">
        <v>25.1</v>
      </c>
      <c r="BJ47" s="3">
        <v>24</v>
      </c>
      <c r="BK47" s="3">
        <v>105.6</v>
      </c>
      <c r="BV47" s="29"/>
      <c r="BW47" s="3"/>
      <c r="BX47" s="8"/>
      <c r="BY47" s="6"/>
      <c r="BZ47" s="3"/>
      <c r="CA47" s="3"/>
      <c r="CY47" s="3"/>
      <c r="CZ47" s="9"/>
      <c r="DA47" s="9"/>
      <c r="DB47" s="44"/>
      <c r="DE47" s="3"/>
      <c r="DF47" s="9"/>
    </row>
    <row r="48" spans="1:110" ht="15" x14ac:dyDescent="0.25">
      <c r="A48" s="7">
        <v>35</v>
      </c>
      <c r="B48" s="7">
        <v>17</v>
      </c>
      <c r="C48" s="10">
        <v>0.22</v>
      </c>
      <c r="D48" s="3">
        <v>6</v>
      </c>
      <c r="E48" s="8">
        <v>1.6</v>
      </c>
      <c r="F48" s="7">
        <v>86</v>
      </c>
      <c r="G48" s="7">
        <v>84</v>
      </c>
      <c r="H48" s="7" t="s">
        <v>48</v>
      </c>
      <c r="I48" s="7">
        <v>10.986122886681098</v>
      </c>
      <c r="K48" s="16">
        <v>28.5</v>
      </c>
      <c r="L48" s="3">
        <v>30</v>
      </c>
      <c r="M48" s="8">
        <v>0.43680000000000008</v>
      </c>
      <c r="N48" s="7">
        <v>91</v>
      </c>
      <c r="O48">
        <v>20.873633484694086</v>
      </c>
      <c r="R48" s="10"/>
      <c r="S48" s="3"/>
      <c r="T48" s="8"/>
      <c r="U48" s="3"/>
      <c r="AA48" s="8"/>
      <c r="AB48" s="7"/>
      <c r="AW48" s="7">
        <v>23.3</v>
      </c>
      <c r="AX48" s="7">
        <v>9</v>
      </c>
      <c r="AY48" s="7" t="s">
        <v>48</v>
      </c>
      <c r="AZ48" s="3">
        <v>18</v>
      </c>
      <c r="BA48" s="8">
        <v>0.95799999999999996</v>
      </c>
      <c r="BB48" s="8">
        <v>657.63546798029574</v>
      </c>
      <c r="BC48" s="3">
        <v>133.5</v>
      </c>
      <c r="BD48" s="7">
        <v>79.7</v>
      </c>
      <c r="BH48" s="8">
        <v>657.63546798029574</v>
      </c>
      <c r="BI48" s="7">
        <v>23.3</v>
      </c>
      <c r="BJ48" s="3">
        <v>18</v>
      </c>
      <c r="BK48" s="3">
        <v>133.5</v>
      </c>
      <c r="CY48" s="3"/>
      <c r="CZ48" s="7"/>
      <c r="DA48" s="7"/>
      <c r="DB48" s="40"/>
      <c r="DE48" s="3"/>
      <c r="DF48" s="10">
        <f>PEARSON(DE2:DE46,DF2:DF46)</f>
        <v>-5.4146857032020816E-2</v>
      </c>
    </row>
    <row r="49" spans="1:110" ht="15" x14ac:dyDescent="0.25">
      <c r="A49" s="7">
        <v>25.1</v>
      </c>
      <c r="B49" s="7">
        <v>9</v>
      </c>
      <c r="C49" s="7" t="s">
        <v>48</v>
      </c>
      <c r="D49" s="3">
        <v>24</v>
      </c>
      <c r="E49" s="8">
        <v>0.66900000000000004</v>
      </c>
      <c r="F49" s="7">
        <v>82</v>
      </c>
      <c r="G49" s="7">
        <v>82</v>
      </c>
      <c r="H49">
        <v>2.9600000000000001E-2</v>
      </c>
      <c r="I49">
        <v>14.281959752685427</v>
      </c>
      <c r="K49" s="7">
        <v>30</v>
      </c>
      <c r="L49" s="3">
        <v>10</v>
      </c>
      <c r="M49" s="8" t="s">
        <v>48</v>
      </c>
      <c r="N49" s="7">
        <v>66.400000000000006</v>
      </c>
      <c r="O49">
        <v>8.7888983093448783</v>
      </c>
      <c r="R49" s="10"/>
      <c r="S49" s="3"/>
      <c r="T49" s="8"/>
      <c r="U49" s="3"/>
      <c r="AA49" s="8"/>
      <c r="AB49" s="9"/>
      <c r="AL49" s="16"/>
      <c r="AM49" s="3"/>
      <c r="AN49" s="8"/>
      <c r="AO49" s="9"/>
      <c r="AW49" s="7">
        <v>23</v>
      </c>
      <c r="AX49" s="7">
        <v>9</v>
      </c>
      <c r="AY49" s="7" t="s">
        <v>48</v>
      </c>
      <c r="AZ49" s="3">
        <v>12</v>
      </c>
      <c r="BA49" s="8">
        <v>1.3</v>
      </c>
      <c r="BB49" s="8">
        <v>633.19672131147513</v>
      </c>
      <c r="BC49" s="3">
        <v>154.5</v>
      </c>
      <c r="BD49" s="7">
        <v>75.599999999999994</v>
      </c>
      <c r="BH49" s="8">
        <v>633.19672131147513</v>
      </c>
      <c r="BI49" s="7">
        <v>23</v>
      </c>
      <c r="BJ49" s="3">
        <v>12</v>
      </c>
      <c r="BK49" s="3">
        <v>154.5</v>
      </c>
      <c r="CY49" s="3"/>
      <c r="CZ49" s="7"/>
      <c r="DA49" s="7"/>
      <c r="DB49" s="44"/>
      <c r="DE49" s="3"/>
      <c r="DF49" s="7"/>
    </row>
    <row r="50" spans="1:110" ht="15" x14ac:dyDescent="0.25">
      <c r="A50" s="7">
        <v>23.3</v>
      </c>
      <c r="B50" s="7">
        <v>9</v>
      </c>
      <c r="C50" s="7" t="s">
        <v>48</v>
      </c>
      <c r="D50" s="3">
        <v>18</v>
      </c>
      <c r="E50" s="8">
        <v>0.95799999999999996</v>
      </c>
      <c r="F50" s="7">
        <v>73.7</v>
      </c>
      <c r="G50" s="7">
        <v>79.7</v>
      </c>
      <c r="H50">
        <v>2.1499999999999998E-2</v>
      </c>
      <c r="I50">
        <v>14.281959752685427</v>
      </c>
      <c r="K50" s="10">
        <v>30</v>
      </c>
      <c r="L50" s="3">
        <v>20</v>
      </c>
      <c r="M50" s="12"/>
      <c r="N50" s="7">
        <v>84</v>
      </c>
      <c r="O50">
        <v>9.8875105980129874</v>
      </c>
      <c r="R50" s="29"/>
      <c r="S50" s="3"/>
      <c r="T50" s="8"/>
      <c r="U50" s="3"/>
      <c r="AA50" s="8"/>
      <c r="AB50" s="9"/>
      <c r="AL50" s="16"/>
      <c r="AM50" s="3"/>
      <c r="AN50" s="8"/>
      <c r="AO50" s="9"/>
      <c r="AW50" s="7">
        <v>24</v>
      </c>
      <c r="AX50" s="7">
        <v>9</v>
      </c>
      <c r="AY50" s="7" t="s">
        <v>48</v>
      </c>
      <c r="AZ50" s="3">
        <v>8</v>
      </c>
      <c r="BA50" s="8">
        <v>2.1</v>
      </c>
      <c r="BB50" s="8">
        <v>696.92307692307702</v>
      </c>
      <c r="BC50" s="3">
        <v>226.5</v>
      </c>
      <c r="BD50" s="7">
        <v>67.5</v>
      </c>
      <c r="BH50" s="8">
        <v>696.92307692307702</v>
      </c>
      <c r="BI50" s="7">
        <v>24</v>
      </c>
      <c r="BJ50" s="3">
        <v>8</v>
      </c>
      <c r="BK50" s="3">
        <v>226.5</v>
      </c>
      <c r="CY50" s="3"/>
      <c r="CZ50" s="7"/>
      <c r="DA50" s="7"/>
      <c r="DB50" s="44"/>
      <c r="DE50" s="3"/>
      <c r="DF50" s="7"/>
    </row>
    <row r="51" spans="1:110" ht="15" x14ac:dyDescent="0.25">
      <c r="A51" s="7">
        <v>23</v>
      </c>
      <c r="B51" s="7">
        <v>9</v>
      </c>
      <c r="C51" s="7" t="s">
        <v>48</v>
      </c>
      <c r="D51" s="3">
        <v>12</v>
      </c>
      <c r="E51" s="8">
        <v>1.3</v>
      </c>
      <c r="F51" s="7">
        <v>70.5</v>
      </c>
      <c r="G51" s="7">
        <v>75.599999999999994</v>
      </c>
      <c r="H51">
        <v>1.5800000000000002E-2</v>
      </c>
      <c r="I51">
        <v>14.281959752685427</v>
      </c>
      <c r="K51" s="7">
        <v>30</v>
      </c>
      <c r="L51" s="3">
        <v>24</v>
      </c>
      <c r="M51" s="8">
        <v>0.57999999999999996</v>
      </c>
      <c r="N51" s="7">
        <v>90</v>
      </c>
      <c r="O51" t="s">
        <v>48</v>
      </c>
      <c r="R51" s="29"/>
      <c r="S51" s="3"/>
      <c r="T51" s="8"/>
      <c r="U51" s="3"/>
      <c r="AA51" s="19"/>
      <c r="AB51" s="9"/>
      <c r="AM51" s="3"/>
      <c r="AN51" s="19"/>
      <c r="AO51" s="9"/>
      <c r="CY51" s="3"/>
      <c r="CZ51" s="7"/>
      <c r="DA51" s="7"/>
      <c r="DB51" s="44"/>
      <c r="DE51" s="3"/>
      <c r="DF51" s="7"/>
    </row>
    <row r="52" spans="1:110" ht="15" x14ac:dyDescent="0.25">
      <c r="A52" s="7">
        <v>24</v>
      </c>
      <c r="B52" s="7">
        <v>9</v>
      </c>
      <c r="C52" s="7" t="s">
        <v>48</v>
      </c>
      <c r="D52" s="3">
        <v>8</v>
      </c>
      <c r="E52" s="8">
        <v>2.1</v>
      </c>
      <c r="F52" s="7">
        <v>68.900000000000006</v>
      </c>
      <c r="G52" s="7">
        <v>67.5</v>
      </c>
      <c r="H52">
        <v>4.5999999999999999E-3</v>
      </c>
      <c r="I52">
        <v>14.281959752685427</v>
      </c>
      <c r="K52" s="7">
        <v>35</v>
      </c>
      <c r="L52" s="3">
        <v>6</v>
      </c>
      <c r="M52" s="8">
        <v>1.6</v>
      </c>
      <c r="N52" s="7">
        <v>84</v>
      </c>
      <c r="O52">
        <v>10.986122886681098</v>
      </c>
      <c r="R52" s="7"/>
      <c r="S52" s="3"/>
      <c r="T52" s="8"/>
      <c r="U52" s="3"/>
      <c r="AA52" s="12"/>
      <c r="AB52" s="7"/>
      <c r="AL52" s="10"/>
      <c r="AM52" s="3"/>
      <c r="AN52" s="12"/>
      <c r="AO52" s="7"/>
      <c r="CY52" s="7"/>
      <c r="CZ52" s="9"/>
      <c r="DA52" s="9"/>
      <c r="DB52" s="44"/>
      <c r="DE52" s="7"/>
      <c r="DF52" s="9"/>
    </row>
    <row r="56" spans="1:110" x14ac:dyDescent="0.2">
      <c r="J56" t="s">
        <v>191</v>
      </c>
      <c r="K56" s="9">
        <f>MEDIAN(K2:K52)</f>
        <v>18</v>
      </c>
      <c r="L56" s="9">
        <f t="shared" ref="L56" si="2">MEDIAN(L2:L52)</f>
        <v>24</v>
      </c>
      <c r="M56" s="31">
        <f>MEDIAN(M2:M52)</f>
        <v>0.40766216216216211</v>
      </c>
      <c r="Q56" t="s">
        <v>191</v>
      </c>
      <c r="R56" s="9">
        <f>MEDIAN(R2:R52)</f>
        <v>18.25</v>
      </c>
      <c r="T56" t="s">
        <v>191</v>
      </c>
      <c r="U56" s="9">
        <f>MEDIAN(U2:U52)</f>
        <v>74.849999999999994</v>
      </c>
      <c r="AA56" s="31">
        <f>MEDIAN(AA2:AA52)</f>
        <v>0.41100000000000003</v>
      </c>
    </row>
    <row r="58" spans="1:110" x14ac:dyDescent="0.2">
      <c r="J58">
        <v>25</v>
      </c>
      <c r="K58">
        <f>_xlfn.PERCENTILE.INC(K2:K52,0.25)</f>
        <v>15</v>
      </c>
      <c r="L58">
        <f t="shared" ref="L58:M58" si="3">_xlfn.PERCENTILE.INC(L2:L52,0.25)</f>
        <v>12</v>
      </c>
      <c r="M58">
        <f t="shared" si="3"/>
        <v>0.20587499999999997</v>
      </c>
      <c r="Q58">
        <v>25</v>
      </c>
      <c r="R58">
        <f>_xlfn.PERCENTILE.INC(R2:R52,0.25)</f>
        <v>15</v>
      </c>
      <c r="T58">
        <v>25</v>
      </c>
      <c r="U58">
        <f>_xlfn.PERCENTILE.INC(U2:U52,0.25)</f>
        <v>63.2870036101083</v>
      </c>
      <c r="AA58">
        <f t="shared" ref="AA58" si="4">_xlfn.PERCENTILE.INC(AA2:AA52,0.25)</f>
        <v>0.22066666666666668</v>
      </c>
    </row>
    <row r="59" spans="1:110" x14ac:dyDescent="0.2">
      <c r="J59">
        <v>75</v>
      </c>
      <c r="K59">
        <f>_xlfn.PERCENTILE.INC(K2:K52,0.75)</f>
        <v>24</v>
      </c>
      <c r="L59">
        <f t="shared" ref="L59:M59" si="5">_xlfn.PERCENTILE.INC(L2:L52,0.75)</f>
        <v>48</v>
      </c>
      <c r="M59">
        <f t="shared" si="5"/>
        <v>0.64424999999999999</v>
      </c>
      <c r="Q59">
        <v>75</v>
      </c>
      <c r="R59">
        <f>_xlfn.PERCENTILE.INC(R2:R52,0.75)</f>
        <v>25.774999999999999</v>
      </c>
      <c r="T59">
        <v>75</v>
      </c>
      <c r="U59">
        <f>_xlfn.PERCENTILE.INC(U2:U52,0.75)</f>
        <v>85.4</v>
      </c>
      <c r="AA59">
        <f t="shared" ref="AA59" si="6">_xlfn.PERCENTILE.INC(AA2:AA52,0.75)</f>
        <v>0.7297499999999999</v>
      </c>
    </row>
    <row r="61" spans="1:110" x14ac:dyDescent="0.2">
      <c r="J61" t="s">
        <v>192</v>
      </c>
      <c r="K61">
        <f>MIN(K2:K52)</f>
        <v>9</v>
      </c>
      <c r="L61">
        <f t="shared" ref="L61:M61" si="7">MIN(L2:L52)</f>
        <v>6</v>
      </c>
      <c r="M61">
        <f t="shared" si="7"/>
        <v>4.306666666666667E-2</v>
      </c>
      <c r="Q61" t="s">
        <v>192</v>
      </c>
      <c r="R61">
        <f>MIN(R2:R52)</f>
        <v>10.5</v>
      </c>
      <c r="T61" t="s">
        <v>192</v>
      </c>
      <c r="U61">
        <f>MIN(U2:U52)</f>
        <v>40</v>
      </c>
      <c r="AA61">
        <f t="shared" ref="AA61" si="8">MIN(AA2:AA52)</f>
        <v>4.306666666666667E-2</v>
      </c>
    </row>
    <row r="62" spans="1:110" x14ac:dyDescent="0.2">
      <c r="J62" t="s">
        <v>193</v>
      </c>
      <c r="K62">
        <f>MAX(K2:K52)</f>
        <v>35</v>
      </c>
      <c r="L62">
        <f t="shared" ref="L62:M62" si="9">MAX(L2:L52)</f>
        <v>144</v>
      </c>
      <c r="M62">
        <f t="shared" si="9"/>
        <v>2.1</v>
      </c>
      <c r="Q62" t="s">
        <v>193</v>
      </c>
      <c r="R62">
        <f>MAX(R2:R52)</f>
        <v>35</v>
      </c>
      <c r="T62" t="s">
        <v>193</v>
      </c>
      <c r="U62">
        <f>MAX(U2:U52)</f>
        <v>95</v>
      </c>
      <c r="AA62">
        <f t="shared" ref="AA62" si="10">MAX(AA2:AA52)</f>
        <v>2.1</v>
      </c>
    </row>
    <row r="64" spans="1:110" x14ac:dyDescent="0.2">
      <c r="J64" s="39">
        <v>0.05</v>
      </c>
      <c r="Q64" s="39">
        <v>0.05</v>
      </c>
      <c r="R64">
        <f>_xlfn.PERCENTILE.INC(R2:R52,0.05)</f>
        <v>12.345000000000001</v>
      </c>
      <c r="T64" s="39">
        <v>0.05</v>
      </c>
      <c r="U64">
        <f>_xlfn.PERCENTILE.INC(U2:U52,0.05)</f>
        <v>40.765000000000001</v>
      </c>
    </row>
    <row r="65" spans="2:27" x14ac:dyDescent="0.2">
      <c r="J65" s="39">
        <v>0.95</v>
      </c>
      <c r="Q65" s="39">
        <v>0.95</v>
      </c>
      <c r="R65">
        <f>_xlfn.PERCENTILE.INC(R2:R52,0.95)</f>
        <v>30</v>
      </c>
      <c r="T65" s="39">
        <v>0.95</v>
      </c>
      <c r="U65">
        <f>_xlfn.PERCENTILE.INC(U2:U52,0.95)</f>
        <v>91.11</v>
      </c>
    </row>
    <row r="67" spans="2:27" x14ac:dyDescent="0.2">
      <c r="B67" t="s">
        <v>21</v>
      </c>
      <c r="C67" t="s">
        <v>199</v>
      </c>
      <c r="J67" t="s">
        <v>194</v>
      </c>
      <c r="K67">
        <f>COUNT(K2:K52)</f>
        <v>51</v>
      </c>
      <c r="L67">
        <f t="shared" ref="L67:M67" si="11">COUNT(L2:L52)</f>
        <v>51</v>
      </c>
      <c r="M67">
        <f t="shared" si="11"/>
        <v>44</v>
      </c>
      <c r="Q67" t="s">
        <v>194</v>
      </c>
      <c r="R67">
        <f>COUNT(R2:R52)</f>
        <v>30</v>
      </c>
      <c r="T67" t="s">
        <v>194</v>
      </c>
      <c r="U67">
        <f>COUNT(U2:U52)</f>
        <v>30</v>
      </c>
      <c r="AA67">
        <f t="shared" ref="AA67" si="12">COUNT(AA2:AA52)</f>
        <v>46</v>
      </c>
    </row>
    <row r="68" spans="2:27" x14ac:dyDescent="0.2">
      <c r="B68">
        <v>9</v>
      </c>
      <c r="C68">
        <v>13.183347464017316</v>
      </c>
    </row>
    <row r="69" spans="2:27" x14ac:dyDescent="0.2">
      <c r="B69">
        <v>9</v>
      </c>
      <c r="C69">
        <v>13.183347464017316</v>
      </c>
    </row>
    <row r="70" spans="2:27" x14ac:dyDescent="0.2">
      <c r="B70">
        <v>9</v>
      </c>
      <c r="C70">
        <v>13.183347464017316</v>
      </c>
    </row>
    <row r="71" spans="2:27" x14ac:dyDescent="0.2">
      <c r="B71">
        <v>9</v>
      </c>
      <c r="C71">
        <v>13.183347464017316</v>
      </c>
    </row>
    <row r="72" spans="2:27" x14ac:dyDescent="0.2">
      <c r="B72">
        <v>10.5</v>
      </c>
      <c r="C72">
        <v>5.4930614433405491</v>
      </c>
    </row>
    <row r="73" spans="2:27" x14ac:dyDescent="0.2">
      <c r="B73">
        <v>10.5</v>
      </c>
      <c r="C73">
        <v>9.8875105980129874</v>
      </c>
    </row>
    <row r="74" spans="2:27" x14ac:dyDescent="0.2">
      <c r="B74">
        <v>13.5</v>
      </c>
      <c r="C74" t="s">
        <v>48</v>
      </c>
    </row>
    <row r="75" spans="2:27" x14ac:dyDescent="0.2">
      <c r="B75">
        <v>14.6</v>
      </c>
      <c r="C75">
        <v>18.676408907357867</v>
      </c>
      <c r="M75" t="s">
        <v>191</v>
      </c>
      <c r="N75" s="9">
        <f>MEDIAN(N2:N52)</f>
        <v>62</v>
      </c>
    </row>
    <row r="76" spans="2:27" x14ac:dyDescent="0.2">
      <c r="B76">
        <v>15</v>
      </c>
      <c r="C76">
        <v>12.084735175349207</v>
      </c>
    </row>
    <row r="77" spans="2:27" x14ac:dyDescent="0.2">
      <c r="B77">
        <v>15</v>
      </c>
      <c r="C77">
        <v>12.084735175349207</v>
      </c>
      <c r="M77">
        <v>25</v>
      </c>
      <c r="N77">
        <f>_xlfn.PERCENTILE.INC(N2:N52,0.25)</f>
        <v>53.12889518413597</v>
      </c>
    </row>
    <row r="78" spans="2:27" x14ac:dyDescent="0.2">
      <c r="B78">
        <v>15</v>
      </c>
      <c r="C78">
        <v>12.084735175349207</v>
      </c>
      <c r="M78">
        <v>75</v>
      </c>
      <c r="N78">
        <f>_xlfn.PERCENTILE.INC(N2:N52,0.75)</f>
        <v>73</v>
      </c>
    </row>
    <row r="79" spans="2:27" x14ac:dyDescent="0.2">
      <c r="B79">
        <v>15</v>
      </c>
      <c r="C79">
        <v>16.479184330021646</v>
      </c>
    </row>
    <row r="80" spans="2:27" x14ac:dyDescent="0.2">
      <c r="B80">
        <v>15</v>
      </c>
      <c r="C80">
        <v>16.479184330021646</v>
      </c>
      <c r="M80" t="s">
        <v>192</v>
      </c>
      <c r="N80">
        <f>MIN(N2:N52)</f>
        <v>22.600619195046441</v>
      </c>
    </row>
    <row r="81" spans="2:14" x14ac:dyDescent="0.2">
      <c r="B81">
        <v>15</v>
      </c>
      <c r="C81">
        <v>16.479184330021646</v>
      </c>
      <c r="M81" t="s">
        <v>193</v>
      </c>
      <c r="N81">
        <f>MAX(N2:N52)</f>
        <v>91</v>
      </c>
    </row>
    <row r="82" spans="2:14" x14ac:dyDescent="0.2">
      <c r="B82">
        <v>15.7</v>
      </c>
      <c r="C82">
        <v>18.676408907357867</v>
      </c>
    </row>
    <row r="83" spans="2:14" x14ac:dyDescent="0.2">
      <c r="B83">
        <v>16</v>
      </c>
      <c r="C83">
        <v>8.7888983093448783</v>
      </c>
      <c r="M83" s="39">
        <v>0.05</v>
      </c>
      <c r="N83">
        <f>_xlfn.PERCENTILE.INC(N2:N52,0.05)</f>
        <v>35.126126126126124</v>
      </c>
    </row>
    <row r="84" spans="2:14" x14ac:dyDescent="0.2">
      <c r="B84">
        <v>16</v>
      </c>
      <c r="C84">
        <v>8.7888983093448783</v>
      </c>
      <c r="M84" s="39">
        <v>0.95</v>
      </c>
      <c r="N84">
        <f>_xlfn.PERCENTILE.INC(N2:N52,0.95)</f>
        <v>88.3</v>
      </c>
    </row>
    <row r="85" spans="2:14" x14ac:dyDescent="0.2">
      <c r="B85">
        <v>16</v>
      </c>
      <c r="C85">
        <v>8.7888983093448783</v>
      </c>
    </row>
    <row r="86" spans="2:14" x14ac:dyDescent="0.2">
      <c r="B86">
        <v>16.5</v>
      </c>
      <c r="C86">
        <v>6.5916737320086582</v>
      </c>
      <c r="M86" t="s">
        <v>194</v>
      </c>
      <c r="N86">
        <f>COUNT(N2:N52)</f>
        <v>51</v>
      </c>
    </row>
    <row r="87" spans="2:14" x14ac:dyDescent="0.2">
      <c r="B87">
        <v>16.600000000000001</v>
      </c>
      <c r="C87">
        <v>8.7888983093448783</v>
      </c>
    </row>
    <row r="88" spans="2:14" x14ac:dyDescent="0.2">
      <c r="B88">
        <v>16.600000000000001</v>
      </c>
      <c r="C88">
        <v>8.7888983093448783</v>
      </c>
    </row>
    <row r="89" spans="2:14" x14ac:dyDescent="0.2">
      <c r="B89">
        <v>17.899999999999999</v>
      </c>
      <c r="C89" t="s">
        <v>48</v>
      </c>
    </row>
    <row r="90" spans="2:14" x14ac:dyDescent="0.2">
      <c r="B90">
        <v>18</v>
      </c>
      <c r="C90">
        <v>12.084735175349207</v>
      </c>
    </row>
    <row r="91" spans="2:14" x14ac:dyDescent="0.2">
      <c r="B91">
        <v>18</v>
      </c>
      <c r="C91" t="s">
        <v>48</v>
      </c>
    </row>
    <row r="92" spans="2:14" x14ac:dyDescent="0.2">
      <c r="B92">
        <v>18</v>
      </c>
      <c r="C92" t="s">
        <v>48</v>
      </c>
    </row>
    <row r="93" spans="2:14" x14ac:dyDescent="0.2">
      <c r="B93">
        <v>18</v>
      </c>
      <c r="C93" t="s">
        <v>48</v>
      </c>
    </row>
    <row r="94" spans="2:14" x14ac:dyDescent="0.2">
      <c r="B94">
        <v>18.5</v>
      </c>
      <c r="C94" t="s">
        <v>48</v>
      </c>
    </row>
    <row r="95" spans="2:14" x14ac:dyDescent="0.2">
      <c r="B95">
        <v>19</v>
      </c>
      <c r="C95">
        <v>10.986122886681098</v>
      </c>
    </row>
    <row r="96" spans="2:14" x14ac:dyDescent="0.2">
      <c r="B96">
        <v>19</v>
      </c>
      <c r="C96" t="s">
        <v>48</v>
      </c>
    </row>
    <row r="97" spans="2:3" x14ac:dyDescent="0.2">
      <c r="B97">
        <v>20</v>
      </c>
      <c r="C97">
        <v>13.183347464017316</v>
      </c>
    </row>
    <row r="98" spans="2:3" x14ac:dyDescent="0.2">
      <c r="B98">
        <v>20</v>
      </c>
      <c r="C98">
        <v>13.183347464017316</v>
      </c>
    </row>
    <row r="99" spans="2:3" x14ac:dyDescent="0.2">
      <c r="B99">
        <v>20</v>
      </c>
      <c r="C99">
        <v>13.183347464017316</v>
      </c>
    </row>
    <row r="100" spans="2:3" x14ac:dyDescent="0.2">
      <c r="B100">
        <v>20</v>
      </c>
      <c r="C100">
        <v>13.183347464017316</v>
      </c>
    </row>
    <row r="101" spans="2:3" x14ac:dyDescent="0.2">
      <c r="B101">
        <v>23</v>
      </c>
      <c r="C101">
        <v>14.281959752685427</v>
      </c>
    </row>
    <row r="102" spans="2:3" x14ac:dyDescent="0.2">
      <c r="B102">
        <v>23.3</v>
      </c>
      <c r="C102">
        <v>14.281959752685427</v>
      </c>
    </row>
    <row r="103" spans="2:3" x14ac:dyDescent="0.2">
      <c r="B103">
        <v>23.4</v>
      </c>
      <c r="C103" t="s">
        <v>48</v>
      </c>
    </row>
    <row r="104" spans="2:3" x14ac:dyDescent="0.2">
      <c r="B104">
        <v>23.4</v>
      </c>
      <c r="C104" t="s">
        <v>48</v>
      </c>
    </row>
    <row r="105" spans="2:3" x14ac:dyDescent="0.2">
      <c r="B105">
        <v>24</v>
      </c>
      <c r="C105" t="s">
        <v>48</v>
      </c>
    </row>
    <row r="106" spans="2:3" x14ac:dyDescent="0.2">
      <c r="B106">
        <v>24</v>
      </c>
      <c r="C106" t="s">
        <v>48</v>
      </c>
    </row>
    <row r="107" spans="2:3" x14ac:dyDescent="0.2">
      <c r="B107">
        <v>24</v>
      </c>
      <c r="C107">
        <v>14.281959752685427</v>
      </c>
    </row>
    <row r="108" spans="2:3" x14ac:dyDescent="0.2">
      <c r="B108">
        <v>24.1</v>
      </c>
      <c r="C108">
        <v>7.6902860206767683</v>
      </c>
    </row>
    <row r="109" spans="2:3" x14ac:dyDescent="0.2">
      <c r="B109">
        <v>25.1</v>
      </c>
      <c r="C109">
        <v>14.281959752685427</v>
      </c>
    </row>
    <row r="110" spans="2:3" x14ac:dyDescent="0.2">
      <c r="B110">
        <v>26</v>
      </c>
      <c r="C110">
        <v>9.8875105980129874</v>
      </c>
    </row>
    <row r="111" spans="2:3" x14ac:dyDescent="0.2">
      <c r="B111">
        <v>27.2</v>
      </c>
      <c r="C111">
        <v>7.6902860206767683</v>
      </c>
    </row>
    <row r="112" spans="2:3" x14ac:dyDescent="0.2">
      <c r="B112">
        <v>27.8</v>
      </c>
      <c r="C112">
        <v>7.6902860206767683</v>
      </c>
    </row>
    <row r="113" spans="2:35" x14ac:dyDescent="0.2">
      <c r="B113">
        <v>28.2</v>
      </c>
      <c r="C113">
        <v>20.873633484694086</v>
      </c>
    </row>
    <row r="114" spans="2:35" x14ac:dyDescent="0.2">
      <c r="B114">
        <v>28.5</v>
      </c>
      <c r="C114">
        <v>20.873633484694086</v>
      </c>
    </row>
    <row r="115" spans="2:35" x14ac:dyDescent="0.2">
      <c r="B115">
        <v>30</v>
      </c>
      <c r="C115">
        <v>8.7888983093448783</v>
      </c>
    </row>
    <row r="116" spans="2:35" x14ac:dyDescent="0.2">
      <c r="B116">
        <v>30</v>
      </c>
      <c r="C116">
        <v>9.8875105980129874</v>
      </c>
    </row>
    <row r="117" spans="2:35" x14ac:dyDescent="0.2">
      <c r="B117">
        <v>30</v>
      </c>
      <c r="C117" t="s">
        <v>48</v>
      </c>
    </row>
    <row r="118" spans="2:35" x14ac:dyDescent="0.2">
      <c r="B118">
        <v>35</v>
      </c>
      <c r="C118">
        <v>10.986122886681098</v>
      </c>
    </row>
    <row r="127" spans="2:35" x14ac:dyDescent="0.2">
      <c r="O127" t="s">
        <v>201</v>
      </c>
      <c r="S127" t="s">
        <v>202</v>
      </c>
    </row>
    <row r="128" spans="2:35" ht="15" x14ac:dyDescent="0.25">
      <c r="B128" s="46" t="s">
        <v>200</v>
      </c>
      <c r="C128" s="46"/>
      <c r="D128" t="s">
        <v>48</v>
      </c>
      <c r="E128" s="10">
        <f>95/1000</f>
        <v>9.5000000000000001E-2</v>
      </c>
      <c r="F128" s="3">
        <v>27.5</v>
      </c>
      <c r="G128" s="3">
        <v>210</v>
      </c>
      <c r="H128" s="3"/>
      <c r="I128" s="3">
        <v>72</v>
      </c>
      <c r="J128" s="42">
        <v>0.32100000000000001</v>
      </c>
      <c r="K128" s="1"/>
      <c r="L128" s="3">
        <v>295</v>
      </c>
      <c r="M128" s="6">
        <v>960</v>
      </c>
      <c r="N128" s="6">
        <v>103</v>
      </c>
      <c r="O128" s="9">
        <v>65.3</v>
      </c>
      <c r="P128" t="s">
        <v>48</v>
      </c>
      <c r="Q128" t="s">
        <v>48</v>
      </c>
      <c r="R128">
        <v>334</v>
      </c>
      <c r="S128" s="9">
        <v>65.3</v>
      </c>
      <c r="T128" s="9" t="s">
        <v>48</v>
      </c>
      <c r="U128" s="9" t="s">
        <v>48</v>
      </c>
      <c r="W128" s="4"/>
      <c r="X128" s="3" t="s">
        <v>48</v>
      </c>
      <c r="Y128" s="8">
        <f>((12.5-3.4)/(G128))/(31.7/1000)</f>
        <v>1.366982124079916</v>
      </c>
      <c r="Z128" s="3"/>
      <c r="AA128" s="3" t="s">
        <v>48</v>
      </c>
      <c r="AB128">
        <v>1.3599999999999999E-2</v>
      </c>
      <c r="AD128" s="3"/>
      <c r="AE128" s="3"/>
      <c r="AF128" s="3" t="s">
        <v>48</v>
      </c>
      <c r="AG128" s="3" t="s">
        <v>48</v>
      </c>
      <c r="AI128" s="46" t="s">
        <v>17</v>
      </c>
    </row>
    <row r="129" spans="2:35" ht="15" x14ac:dyDescent="0.25">
      <c r="B129" s="46" t="s">
        <v>200</v>
      </c>
      <c r="C129" s="46"/>
      <c r="D129" t="s">
        <v>48</v>
      </c>
      <c r="E129" s="10">
        <f>95/1000</f>
        <v>9.5000000000000001E-2</v>
      </c>
      <c r="F129" s="3">
        <v>24</v>
      </c>
      <c r="G129" s="3">
        <v>210</v>
      </c>
      <c r="H129" s="3"/>
      <c r="I129" s="3">
        <v>48</v>
      </c>
      <c r="J129" s="42">
        <v>0.436</v>
      </c>
      <c r="K129" s="1"/>
      <c r="L129" s="3">
        <v>295</v>
      </c>
      <c r="M129" s="6">
        <v>960</v>
      </c>
      <c r="N129" s="6">
        <v>115</v>
      </c>
      <c r="O129" s="9">
        <v>58.3</v>
      </c>
      <c r="P129" t="s">
        <v>48</v>
      </c>
      <c r="Q129" t="s">
        <v>48</v>
      </c>
      <c r="R129">
        <v>380</v>
      </c>
      <c r="S129" s="9">
        <v>56</v>
      </c>
      <c r="T129" s="9" t="s">
        <v>48</v>
      </c>
      <c r="U129" s="9" t="s">
        <v>48</v>
      </c>
      <c r="W129" s="4"/>
      <c r="X129" s="3" t="s">
        <v>48</v>
      </c>
      <c r="Y129" s="8">
        <f>((10.5-2.7)/(G128))/(47.5/1000)</f>
        <v>0.78195488721804518</v>
      </c>
      <c r="Z129" s="3"/>
      <c r="AA129" s="3" t="s">
        <v>48</v>
      </c>
      <c r="AB129">
        <v>6.3E-3</v>
      </c>
      <c r="AD129" s="3"/>
      <c r="AE129" s="3"/>
      <c r="AF129" s="3" t="s">
        <v>48</v>
      </c>
      <c r="AG129" s="3" t="s">
        <v>48</v>
      </c>
      <c r="AI129" s="46"/>
    </row>
    <row r="130" spans="2:35" ht="15" x14ac:dyDescent="0.25">
      <c r="B130" s="46" t="s">
        <v>200</v>
      </c>
      <c r="C130" s="46"/>
      <c r="D130" t="s">
        <v>48</v>
      </c>
      <c r="E130" s="10">
        <f>95/1000</f>
        <v>9.5000000000000001E-2</v>
      </c>
      <c r="F130" s="3">
        <v>27.3</v>
      </c>
      <c r="G130" s="3">
        <v>210</v>
      </c>
      <c r="H130" s="3"/>
      <c r="I130" s="3">
        <v>24</v>
      </c>
      <c r="J130" s="42">
        <v>0.88500000000000001</v>
      </c>
      <c r="K130" s="1"/>
      <c r="L130" s="3">
        <v>295</v>
      </c>
      <c r="M130" s="6">
        <v>960</v>
      </c>
      <c r="N130" s="6">
        <v>123</v>
      </c>
      <c r="O130" s="9">
        <v>55</v>
      </c>
      <c r="P130" t="s">
        <v>48</v>
      </c>
      <c r="Q130" t="s">
        <v>48</v>
      </c>
      <c r="R130">
        <v>412</v>
      </c>
      <c r="S130" s="9">
        <v>53.4</v>
      </c>
      <c r="T130" s="9" t="s">
        <v>48</v>
      </c>
      <c r="U130" s="9" t="s">
        <v>48</v>
      </c>
      <c r="W130" s="4"/>
      <c r="X130" s="3" t="s">
        <v>48</v>
      </c>
      <c r="Y130" s="8">
        <f>((8.5-1.5)/(G128))/(95/1000)</f>
        <v>0.35087719298245612</v>
      </c>
      <c r="Z130" s="3"/>
      <c r="AA130" s="3" t="s">
        <v>48</v>
      </c>
      <c r="AB130">
        <v>8.6999999999999994E-3</v>
      </c>
      <c r="AD130" s="3"/>
      <c r="AE130" s="3"/>
      <c r="AF130" s="3" t="s">
        <v>48</v>
      </c>
      <c r="AG130" s="3" t="s">
        <v>48</v>
      </c>
      <c r="AI130" s="46"/>
    </row>
    <row r="131" spans="2:35" ht="15" x14ac:dyDescent="0.25">
      <c r="B131" s="45" t="s">
        <v>50</v>
      </c>
      <c r="C131" s="45"/>
      <c r="D131" t="s">
        <v>48</v>
      </c>
      <c r="E131" s="10">
        <v>9.5000000000000001E-2</v>
      </c>
      <c r="F131">
        <v>27.8</v>
      </c>
      <c r="G131" s="3">
        <v>210</v>
      </c>
      <c r="H131" s="3">
        <v>2</v>
      </c>
      <c r="I131" s="10">
        <f>(E131/J131)/0.081</f>
        <v>1.6289437585733882E-2</v>
      </c>
      <c r="J131" s="3">
        <v>72</v>
      </c>
      <c r="K131">
        <v>0.32100000000000001</v>
      </c>
      <c r="L131" s="6">
        <v>295</v>
      </c>
      <c r="M131" s="6">
        <v>960</v>
      </c>
      <c r="N131" s="6">
        <v>71</v>
      </c>
      <c r="O131">
        <v>76</v>
      </c>
      <c r="P131" t="s">
        <v>48</v>
      </c>
      <c r="Q131" t="s">
        <v>48</v>
      </c>
      <c r="R131">
        <v>248</v>
      </c>
      <c r="S131">
        <v>74</v>
      </c>
      <c r="T131" t="s">
        <v>48</v>
      </c>
      <c r="U131" t="s">
        <v>48</v>
      </c>
      <c r="X131" s="3" t="s">
        <v>48</v>
      </c>
      <c r="Y131" s="8">
        <f>(((13.6-3.8)/G131))/(31.7/1000)</f>
        <v>1.4721345951629865</v>
      </c>
      <c r="Z131" s="3"/>
      <c r="AA131" s="3" t="s">
        <v>48</v>
      </c>
      <c r="AB131">
        <v>8.0999999999999996E-3</v>
      </c>
      <c r="AD131" s="3" t="s">
        <v>48</v>
      </c>
      <c r="AE131" s="3" t="s">
        <v>48</v>
      </c>
      <c r="AF131" s="3" t="s">
        <v>48</v>
      </c>
      <c r="AG131" s="3" t="s">
        <v>48</v>
      </c>
      <c r="AI131" s="46" t="s">
        <v>17</v>
      </c>
    </row>
    <row r="132" spans="2:35" ht="15" x14ac:dyDescent="0.25">
      <c r="B132" s="45" t="s">
        <v>50</v>
      </c>
      <c r="C132" s="45"/>
      <c r="D132" t="s">
        <v>48</v>
      </c>
      <c r="E132" s="10">
        <v>9.5000000000000001E-2</v>
      </c>
      <c r="F132">
        <v>24.1</v>
      </c>
      <c r="G132" s="3">
        <v>210</v>
      </c>
      <c r="H132" s="3">
        <v>2</v>
      </c>
      <c r="I132" s="10">
        <f>(E132/J132)/0.081</f>
        <v>2.4434156378600823E-2</v>
      </c>
      <c r="J132" s="3">
        <v>48</v>
      </c>
      <c r="K132">
        <v>0.436</v>
      </c>
      <c r="L132" s="6">
        <v>295</v>
      </c>
      <c r="M132" s="6">
        <v>960</v>
      </c>
      <c r="N132" s="6">
        <v>77</v>
      </c>
      <c r="O132">
        <v>72</v>
      </c>
      <c r="P132" t="s">
        <v>48</v>
      </c>
      <c r="Q132" t="s">
        <v>48</v>
      </c>
      <c r="R132">
        <v>314</v>
      </c>
      <c r="S132">
        <v>64</v>
      </c>
      <c r="T132" t="s">
        <v>48</v>
      </c>
      <c r="U132" t="s">
        <v>48</v>
      </c>
      <c r="X132" s="3" t="s">
        <v>48</v>
      </c>
      <c r="Y132" s="8">
        <f>((12.6-3.08)/G132)/(47.5/1000)</f>
        <v>0.95438596491228056</v>
      </c>
      <c r="Z132" s="3"/>
      <c r="AA132" s="3" t="s">
        <v>48</v>
      </c>
      <c r="AB132">
        <v>4.4999999999999997E-3</v>
      </c>
      <c r="AD132" s="3" t="s">
        <v>48</v>
      </c>
      <c r="AE132" s="3" t="s">
        <v>48</v>
      </c>
      <c r="AF132" s="3" t="s">
        <v>48</v>
      </c>
      <c r="AG132" s="3" t="s">
        <v>48</v>
      </c>
      <c r="AI132" s="46"/>
    </row>
    <row r="133" spans="2:35" ht="15" x14ac:dyDescent="0.25">
      <c r="B133" s="45" t="s">
        <v>50</v>
      </c>
      <c r="C133" s="45"/>
      <c r="D133" t="s">
        <v>48</v>
      </c>
      <c r="E133" s="10">
        <v>9.5000000000000001E-2</v>
      </c>
      <c r="F133">
        <v>27.2</v>
      </c>
      <c r="G133" s="3">
        <v>210</v>
      </c>
      <c r="H133" s="3">
        <v>2</v>
      </c>
      <c r="I133" s="10">
        <f>(E133/J133)/0.081</f>
        <v>4.8868312757201646E-2</v>
      </c>
      <c r="J133" s="3">
        <v>24</v>
      </c>
      <c r="K133">
        <v>0.88500000000000001</v>
      </c>
      <c r="L133" s="6">
        <v>295</v>
      </c>
      <c r="M133" s="6">
        <v>960</v>
      </c>
      <c r="N133" s="6">
        <v>87</v>
      </c>
      <c r="O133">
        <v>68</v>
      </c>
      <c r="Q133" t="s">
        <v>48</v>
      </c>
      <c r="R133">
        <v>380</v>
      </c>
      <c r="S133">
        <v>57</v>
      </c>
      <c r="U133" t="s">
        <v>48</v>
      </c>
      <c r="X133" s="3" t="s">
        <v>48</v>
      </c>
      <c r="Y133" s="8">
        <f>((10.1-1.72)/G133)/(47.5/1000)</f>
        <v>0.84010025062656635</v>
      </c>
      <c r="Z133" s="3"/>
      <c r="AA133" s="3" t="s">
        <v>48</v>
      </c>
      <c r="AB133">
        <v>2.5000000000000001E-3</v>
      </c>
      <c r="AD133" s="3" t="s">
        <v>48</v>
      </c>
      <c r="AE133" s="3" t="s">
        <v>48</v>
      </c>
      <c r="AF133" s="3" t="s">
        <v>48</v>
      </c>
      <c r="AG133" s="3" t="s">
        <v>48</v>
      </c>
      <c r="AI133" s="46"/>
    </row>
    <row r="135" spans="2:35" x14ac:dyDescent="0.2">
      <c r="O135" s="9">
        <f>O131-O128</f>
        <v>10.700000000000003</v>
      </c>
      <c r="S135" s="9">
        <f>S131-S128</f>
        <v>8.7000000000000028</v>
      </c>
    </row>
    <row r="136" spans="2:35" x14ac:dyDescent="0.2">
      <c r="O136" s="9">
        <f t="shared" ref="O136:O137" si="13">O132-O129</f>
        <v>13.700000000000003</v>
      </c>
      <c r="S136" s="9">
        <f t="shared" ref="S136:S137" si="14">S132-S129</f>
        <v>8</v>
      </c>
    </row>
    <row r="137" spans="2:35" x14ac:dyDescent="0.2">
      <c r="O137" s="9">
        <f t="shared" si="13"/>
        <v>13</v>
      </c>
      <c r="S137" s="9">
        <f t="shared" si="14"/>
        <v>3.6000000000000014</v>
      </c>
    </row>
    <row r="139" spans="2:35" x14ac:dyDescent="0.2">
      <c r="O139" s="9">
        <f>AVERAGE(O135:O137)</f>
        <v>12.466666666666669</v>
      </c>
      <c r="S139" s="9">
        <f>AVERAGE(S135:S137)</f>
        <v>6.7666666666666684</v>
      </c>
    </row>
  </sheetData>
  <sortState xmlns:xlrd2="http://schemas.microsoft.com/office/spreadsheetml/2017/richdata2" ref="CY2:CZ121">
    <sortCondition ref="CY2:CY121"/>
  </sortState>
  <mergeCells count="18">
    <mergeCell ref="AI131:AI133"/>
    <mergeCell ref="B132:C132"/>
    <mergeCell ref="B133:C133"/>
    <mergeCell ref="B128:C128"/>
    <mergeCell ref="AI128:AI130"/>
    <mergeCell ref="B129:C129"/>
    <mergeCell ref="B130:C130"/>
    <mergeCell ref="B131:C131"/>
    <mergeCell ref="DB38:DB39"/>
    <mergeCell ref="DB40:DB42"/>
    <mergeCell ref="DB43:DB47"/>
    <mergeCell ref="DB49:DB52"/>
    <mergeCell ref="DB2:DB4"/>
    <mergeCell ref="DB7:DB8"/>
    <mergeCell ref="DB10:DB11"/>
    <mergeCell ref="DB12:DB19"/>
    <mergeCell ref="DB20:DB25"/>
    <mergeCell ref="DB30:DB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F0484-284F-45A5-ABEC-47CBAD39574D}">
  <dimension ref="G1:W52"/>
  <sheetViews>
    <sheetView topLeftCell="A4" workbookViewId="0">
      <selection activeCell="G2" sqref="G2:K39"/>
    </sheetView>
  </sheetViews>
  <sheetFormatPr defaultRowHeight="14.25" x14ac:dyDescent="0.2"/>
  <sheetData>
    <row r="1" spans="7:23" x14ac:dyDescent="0.2">
      <c r="G1" t="s">
        <v>28</v>
      </c>
      <c r="H1" t="s">
        <v>199</v>
      </c>
      <c r="I1" t="s">
        <v>21</v>
      </c>
      <c r="J1" t="s">
        <v>25</v>
      </c>
      <c r="K1" t="s">
        <v>33</v>
      </c>
      <c r="S1" t="s">
        <v>27</v>
      </c>
      <c r="T1" t="s">
        <v>199</v>
      </c>
      <c r="U1" t="s">
        <v>21</v>
      </c>
      <c r="V1" t="s">
        <v>25</v>
      </c>
      <c r="W1" t="s">
        <v>29</v>
      </c>
    </row>
    <row r="2" spans="7:23" ht="15" x14ac:dyDescent="0.25">
      <c r="G2" s="6">
        <v>246</v>
      </c>
      <c r="H2">
        <v>8.7888983093448783</v>
      </c>
      <c r="I2" s="3">
        <v>16</v>
      </c>
      <c r="J2" s="3">
        <v>24</v>
      </c>
      <c r="K2" s="3">
        <v>144</v>
      </c>
      <c r="S2" s="6">
        <v>119</v>
      </c>
      <c r="T2">
        <v>18.676408907357867</v>
      </c>
      <c r="U2">
        <v>15.7</v>
      </c>
      <c r="V2" s="3">
        <v>26</v>
      </c>
      <c r="W2" s="6">
        <v>69</v>
      </c>
    </row>
    <row r="3" spans="7:23" ht="15" x14ac:dyDescent="0.25">
      <c r="G3" s="9">
        <v>258.39999999999998</v>
      </c>
      <c r="H3">
        <v>13.183347464017316</v>
      </c>
      <c r="I3">
        <v>20</v>
      </c>
      <c r="J3">
        <v>48</v>
      </c>
      <c r="K3" s="3">
        <v>152.45599999999996</v>
      </c>
      <c r="S3" s="3">
        <v>139</v>
      </c>
      <c r="T3">
        <v>18.676408907357867</v>
      </c>
      <c r="U3" s="3">
        <v>14.6</v>
      </c>
      <c r="V3" s="3">
        <v>28</v>
      </c>
      <c r="W3" s="13">
        <v>81</v>
      </c>
    </row>
    <row r="4" spans="7:23" ht="15" x14ac:dyDescent="0.25">
      <c r="G4" s="9">
        <v>258.39999999999998</v>
      </c>
      <c r="H4">
        <v>13.183347464017316</v>
      </c>
      <c r="I4">
        <v>20</v>
      </c>
      <c r="J4">
        <v>72</v>
      </c>
      <c r="K4" s="3">
        <v>165.37599999999998</v>
      </c>
      <c r="S4">
        <v>177</v>
      </c>
      <c r="T4">
        <v>12.084735175349207</v>
      </c>
      <c r="U4" s="3">
        <v>15</v>
      </c>
      <c r="V4">
        <v>12</v>
      </c>
      <c r="W4">
        <v>106.2</v>
      </c>
    </row>
    <row r="5" spans="7:23" ht="15" x14ac:dyDescent="0.25">
      <c r="G5" s="9">
        <v>258.39999999999998</v>
      </c>
      <c r="H5">
        <v>13.183347464017316</v>
      </c>
      <c r="I5">
        <v>20</v>
      </c>
      <c r="J5">
        <v>96</v>
      </c>
      <c r="K5" s="3">
        <v>173.12799999999999</v>
      </c>
      <c r="S5">
        <v>177</v>
      </c>
      <c r="T5">
        <v>16.479184330021646</v>
      </c>
      <c r="U5" s="3">
        <v>15</v>
      </c>
      <c r="V5">
        <v>48</v>
      </c>
      <c r="W5">
        <v>67.260000000000005</v>
      </c>
    </row>
    <row r="6" spans="7:23" ht="15" x14ac:dyDescent="0.25">
      <c r="G6" s="9">
        <v>258.39999999999998</v>
      </c>
      <c r="H6">
        <v>13.183347464017316</v>
      </c>
      <c r="I6">
        <v>20</v>
      </c>
      <c r="J6">
        <v>120</v>
      </c>
      <c r="K6" s="3">
        <v>175.71199999999999</v>
      </c>
      <c r="S6">
        <v>177</v>
      </c>
      <c r="T6">
        <v>16.479184330021646</v>
      </c>
      <c r="U6" s="3">
        <v>15</v>
      </c>
      <c r="V6">
        <v>24</v>
      </c>
      <c r="W6">
        <v>77.88</v>
      </c>
    </row>
    <row r="7" spans="7:23" ht="15" x14ac:dyDescent="0.25">
      <c r="G7" s="9">
        <v>258.39999999999998</v>
      </c>
      <c r="H7">
        <v>13.183347464017316</v>
      </c>
      <c r="I7">
        <v>9</v>
      </c>
      <c r="J7">
        <v>72</v>
      </c>
      <c r="K7" s="3">
        <v>131.78399999999999</v>
      </c>
      <c r="S7">
        <v>178</v>
      </c>
      <c r="T7">
        <v>12.084735175349207</v>
      </c>
      <c r="U7" s="3">
        <v>15</v>
      </c>
      <c r="V7">
        <v>48</v>
      </c>
      <c r="W7">
        <v>81.88</v>
      </c>
    </row>
    <row r="8" spans="7:23" ht="15" x14ac:dyDescent="0.25">
      <c r="G8" s="9">
        <v>258.39999999999998</v>
      </c>
      <c r="H8">
        <v>13.183347464017316</v>
      </c>
      <c r="I8">
        <v>9</v>
      </c>
      <c r="J8">
        <v>96</v>
      </c>
      <c r="K8" s="3">
        <v>142.12</v>
      </c>
      <c r="S8">
        <v>178</v>
      </c>
      <c r="T8">
        <v>16.479184330021646</v>
      </c>
      <c r="U8" s="3">
        <v>15</v>
      </c>
      <c r="V8">
        <v>12</v>
      </c>
      <c r="W8">
        <v>106.8</v>
      </c>
    </row>
    <row r="9" spans="7:23" ht="15" x14ac:dyDescent="0.25">
      <c r="G9" s="9">
        <v>258.39999999999998</v>
      </c>
      <c r="H9">
        <v>13.183347464017316</v>
      </c>
      <c r="I9">
        <v>9</v>
      </c>
      <c r="J9">
        <v>120</v>
      </c>
      <c r="K9" s="3">
        <v>157.62399999999997</v>
      </c>
      <c r="S9">
        <v>179</v>
      </c>
      <c r="T9">
        <v>12.084735175349207</v>
      </c>
      <c r="U9" s="3">
        <v>15</v>
      </c>
      <c r="V9">
        <v>24</v>
      </c>
      <c r="W9">
        <v>89.5</v>
      </c>
    </row>
    <row r="10" spans="7:23" ht="15" x14ac:dyDescent="0.25">
      <c r="G10" s="9">
        <v>258.39999999999998</v>
      </c>
      <c r="H10">
        <v>13.183347464017316</v>
      </c>
      <c r="I10">
        <v>9</v>
      </c>
      <c r="J10">
        <v>144</v>
      </c>
      <c r="K10" s="3">
        <v>160.20799999999997</v>
      </c>
      <c r="S10" s="6">
        <v>217.36334405144697</v>
      </c>
      <c r="T10">
        <v>14.281959752685427</v>
      </c>
      <c r="U10" s="7">
        <v>24</v>
      </c>
      <c r="V10" s="3">
        <v>8</v>
      </c>
      <c r="W10" s="6">
        <v>67.599999999999994</v>
      </c>
    </row>
    <row r="11" spans="7:23" ht="15" x14ac:dyDescent="0.25">
      <c r="G11" s="6">
        <v>268</v>
      </c>
      <c r="H11">
        <v>8.7888983093448783</v>
      </c>
      <c r="I11" s="3">
        <v>16</v>
      </c>
      <c r="J11" s="3">
        <v>36</v>
      </c>
      <c r="K11" s="3">
        <v>145</v>
      </c>
      <c r="S11" s="6">
        <v>242</v>
      </c>
      <c r="T11">
        <v>9.8875105980129874</v>
      </c>
      <c r="U11" s="25">
        <v>26</v>
      </c>
      <c r="V11" s="3">
        <v>24</v>
      </c>
      <c r="W11" s="6">
        <v>19.600000000000001</v>
      </c>
    </row>
    <row r="12" spans="7:23" ht="15" x14ac:dyDescent="0.25">
      <c r="G12" s="6">
        <v>317.95199999999994</v>
      </c>
      <c r="H12">
        <v>6.5916737320086582</v>
      </c>
      <c r="I12">
        <v>16.5</v>
      </c>
      <c r="J12">
        <v>73.599999999999994</v>
      </c>
      <c r="K12">
        <v>166.60684799999999</v>
      </c>
      <c r="S12" s="6">
        <v>246.76806083650192</v>
      </c>
      <c r="T12">
        <v>14.281959752685427</v>
      </c>
      <c r="U12" s="7">
        <v>23.3</v>
      </c>
      <c r="V12" s="3">
        <v>18</v>
      </c>
      <c r="W12" s="6">
        <v>64.900000000000006</v>
      </c>
    </row>
    <row r="13" spans="7:23" ht="15" x14ac:dyDescent="0.25">
      <c r="G13" s="6">
        <v>323</v>
      </c>
      <c r="H13">
        <v>18.676408907357867</v>
      </c>
      <c r="I13">
        <v>15.7</v>
      </c>
      <c r="J13" s="3">
        <v>26</v>
      </c>
      <c r="K13">
        <v>250</v>
      </c>
      <c r="S13" s="6">
        <v>249.83050847457625</v>
      </c>
      <c r="T13">
        <v>14.281959752685427</v>
      </c>
      <c r="U13" s="7">
        <v>23</v>
      </c>
      <c r="V13" s="3">
        <v>12</v>
      </c>
      <c r="W13" s="6">
        <v>73.7</v>
      </c>
    </row>
    <row r="14" spans="7:23" ht="15" x14ac:dyDescent="0.25">
      <c r="G14" s="6">
        <v>325</v>
      </c>
      <c r="H14">
        <v>8.7888983093448783</v>
      </c>
      <c r="I14" s="3">
        <v>16</v>
      </c>
      <c r="J14" s="3">
        <v>12</v>
      </c>
      <c r="K14" s="3">
        <v>182.00000000000003</v>
      </c>
      <c r="S14">
        <v>277</v>
      </c>
      <c r="T14">
        <v>6.5916737320086582</v>
      </c>
      <c r="U14">
        <v>16.5</v>
      </c>
      <c r="V14">
        <v>73.599999999999994</v>
      </c>
      <c r="W14" s="6">
        <v>64.540999999999997</v>
      </c>
    </row>
    <row r="15" spans="7:23" ht="15" x14ac:dyDescent="0.25">
      <c r="G15">
        <v>375</v>
      </c>
      <c r="H15">
        <v>12.084735175349207</v>
      </c>
      <c r="I15" s="3">
        <v>15</v>
      </c>
      <c r="J15">
        <v>48</v>
      </c>
      <c r="K15" s="3">
        <v>210.00000000000003</v>
      </c>
      <c r="S15" s="6">
        <v>277</v>
      </c>
      <c r="T15">
        <v>5.4930614433405491</v>
      </c>
      <c r="U15" s="16">
        <v>10.5</v>
      </c>
      <c r="V15" s="3">
        <v>55.2</v>
      </c>
      <c r="W15" s="6">
        <v>80</v>
      </c>
    </row>
    <row r="16" spans="7:23" ht="15" x14ac:dyDescent="0.25">
      <c r="G16">
        <v>375</v>
      </c>
      <c r="H16">
        <v>16.479184330021646</v>
      </c>
      <c r="I16" s="3">
        <v>15</v>
      </c>
      <c r="J16">
        <v>48</v>
      </c>
      <c r="K16" s="3">
        <v>225</v>
      </c>
      <c r="S16" s="6">
        <v>277</v>
      </c>
      <c r="T16">
        <v>9.8875105980129874</v>
      </c>
      <c r="U16" s="16">
        <v>10.5</v>
      </c>
      <c r="V16" s="3">
        <v>55.2</v>
      </c>
      <c r="W16" s="6">
        <v>91</v>
      </c>
    </row>
    <row r="17" spans="7:23" ht="15" x14ac:dyDescent="0.25">
      <c r="G17">
        <v>375</v>
      </c>
      <c r="H17">
        <v>16.479184330021646</v>
      </c>
      <c r="I17" s="3">
        <v>15</v>
      </c>
      <c r="J17">
        <v>12</v>
      </c>
      <c r="K17" s="3">
        <v>187.5</v>
      </c>
      <c r="S17" s="6">
        <v>285.71428571428567</v>
      </c>
      <c r="T17">
        <v>10.986122886681098</v>
      </c>
      <c r="U17" s="7">
        <v>35</v>
      </c>
      <c r="V17" s="3">
        <v>6</v>
      </c>
      <c r="W17" s="6">
        <v>40</v>
      </c>
    </row>
    <row r="18" spans="7:23" ht="15" x14ac:dyDescent="0.25">
      <c r="G18">
        <v>376</v>
      </c>
      <c r="H18">
        <v>12.084735175349207</v>
      </c>
      <c r="I18" s="3">
        <v>15</v>
      </c>
      <c r="J18">
        <v>24</v>
      </c>
      <c r="K18" s="3">
        <v>199.28</v>
      </c>
      <c r="S18" s="6">
        <v>295</v>
      </c>
      <c r="T18">
        <v>7.6902860206767683</v>
      </c>
      <c r="U18">
        <v>27.8</v>
      </c>
      <c r="V18" s="3">
        <v>72</v>
      </c>
      <c r="W18" s="6">
        <v>71</v>
      </c>
    </row>
    <row r="19" spans="7:23" ht="15" x14ac:dyDescent="0.25">
      <c r="G19">
        <v>376</v>
      </c>
      <c r="H19">
        <v>12.084735175349207</v>
      </c>
      <c r="I19" s="3">
        <v>15</v>
      </c>
      <c r="J19">
        <v>12</v>
      </c>
      <c r="K19" s="3">
        <v>180.48</v>
      </c>
      <c r="S19" s="6">
        <v>295</v>
      </c>
      <c r="T19">
        <v>7.6902860206767683</v>
      </c>
      <c r="U19">
        <v>24.1</v>
      </c>
      <c r="V19" s="3">
        <v>48</v>
      </c>
      <c r="W19" s="6">
        <v>77</v>
      </c>
    </row>
    <row r="20" spans="7:23" ht="15" x14ac:dyDescent="0.25">
      <c r="G20">
        <v>378</v>
      </c>
      <c r="H20">
        <v>16.479184330021646</v>
      </c>
      <c r="I20" s="3">
        <v>15</v>
      </c>
      <c r="J20">
        <v>24</v>
      </c>
      <c r="K20" s="3">
        <v>211.68</v>
      </c>
      <c r="S20" s="6">
        <v>295</v>
      </c>
      <c r="T20">
        <v>7.6902860206767683</v>
      </c>
      <c r="U20">
        <v>27.2</v>
      </c>
      <c r="V20" s="3">
        <v>24</v>
      </c>
      <c r="W20" s="6">
        <v>87</v>
      </c>
    </row>
    <row r="21" spans="7:23" ht="15" x14ac:dyDescent="0.25">
      <c r="G21" s="6">
        <v>400</v>
      </c>
      <c r="H21">
        <v>10.986122886681098</v>
      </c>
      <c r="I21" s="7">
        <v>35</v>
      </c>
      <c r="J21" s="3">
        <v>6</v>
      </c>
      <c r="K21" s="3">
        <v>44</v>
      </c>
      <c r="S21" s="6">
        <v>297.22222222222211</v>
      </c>
      <c r="T21">
        <v>14.281959752685427</v>
      </c>
      <c r="U21" s="7">
        <v>25.1</v>
      </c>
      <c r="V21" s="3">
        <v>24</v>
      </c>
      <c r="W21" s="6">
        <v>53.5</v>
      </c>
    </row>
    <row r="22" spans="7:23" ht="15" x14ac:dyDescent="0.25">
      <c r="G22" s="13">
        <v>407</v>
      </c>
      <c r="H22">
        <v>18.676408907357867</v>
      </c>
      <c r="I22" s="3">
        <v>14.6</v>
      </c>
      <c r="J22" s="3">
        <v>28</v>
      </c>
      <c r="K22" s="3">
        <v>306</v>
      </c>
      <c r="S22" s="6">
        <v>303</v>
      </c>
      <c r="T22">
        <v>8.7888983093448783</v>
      </c>
      <c r="U22" s="7">
        <v>30</v>
      </c>
      <c r="V22" s="3">
        <v>24</v>
      </c>
      <c r="W22" s="6">
        <v>30</v>
      </c>
    </row>
    <row r="23" spans="7:23" ht="15" x14ac:dyDescent="0.25">
      <c r="G23" s="6">
        <v>411</v>
      </c>
      <c r="H23">
        <v>10.986122886681098</v>
      </c>
      <c r="I23" s="4">
        <v>19</v>
      </c>
      <c r="J23" s="3">
        <v>24</v>
      </c>
      <c r="K23">
        <v>312.36</v>
      </c>
      <c r="S23" s="6">
        <v>310</v>
      </c>
      <c r="T23">
        <v>8.7888983093448783</v>
      </c>
      <c r="U23" s="3">
        <v>16.600000000000001</v>
      </c>
      <c r="V23" s="3">
        <v>72</v>
      </c>
      <c r="W23" s="6">
        <v>48.050000000000011</v>
      </c>
    </row>
    <row r="24" spans="7:23" ht="15" x14ac:dyDescent="0.25">
      <c r="G24" s="6">
        <v>411</v>
      </c>
      <c r="H24">
        <v>9.8875105980129874</v>
      </c>
      <c r="I24" s="25">
        <v>26</v>
      </c>
      <c r="J24" s="3">
        <v>24</v>
      </c>
      <c r="K24" s="3">
        <v>44.1</v>
      </c>
      <c r="S24" s="6">
        <v>310</v>
      </c>
      <c r="T24">
        <v>8.7888983093448783</v>
      </c>
      <c r="U24" s="3">
        <v>16.600000000000001</v>
      </c>
      <c r="V24" s="3">
        <v>48</v>
      </c>
      <c r="W24" s="6">
        <v>44.329999999999984</v>
      </c>
    </row>
    <row r="25" spans="7:23" ht="15" x14ac:dyDescent="0.25">
      <c r="G25" s="6">
        <v>451</v>
      </c>
      <c r="H25">
        <v>5.4930614433405491</v>
      </c>
      <c r="I25" s="16">
        <v>10.5</v>
      </c>
      <c r="J25" s="3">
        <v>55.2</v>
      </c>
      <c r="K25" s="3">
        <v>239</v>
      </c>
      <c r="S25" s="6">
        <v>325.7</v>
      </c>
      <c r="T25">
        <v>20.873633484694086</v>
      </c>
      <c r="U25" s="16">
        <v>28.5</v>
      </c>
      <c r="V25" s="3">
        <v>30</v>
      </c>
      <c r="W25" s="6">
        <v>13.3</v>
      </c>
    </row>
    <row r="26" spans="7:23" ht="15" x14ac:dyDescent="0.25">
      <c r="G26" s="6">
        <v>451</v>
      </c>
      <c r="H26">
        <v>9.8875105980129874</v>
      </c>
      <c r="I26" s="16">
        <v>10.5</v>
      </c>
      <c r="J26" s="3">
        <v>55.2</v>
      </c>
      <c r="K26" s="3">
        <v>245</v>
      </c>
      <c r="S26" s="6">
        <v>329</v>
      </c>
      <c r="T26">
        <v>10.986122886681098</v>
      </c>
      <c r="U26" s="4">
        <v>19</v>
      </c>
      <c r="V26" s="3">
        <v>24</v>
      </c>
      <c r="W26" s="6">
        <v>52.639999999999986</v>
      </c>
    </row>
    <row r="27" spans="7:23" ht="15" x14ac:dyDescent="0.25">
      <c r="G27" s="6">
        <v>546</v>
      </c>
      <c r="H27">
        <v>20.873633484694086</v>
      </c>
      <c r="I27" s="16">
        <v>28.5</v>
      </c>
      <c r="J27" s="3">
        <v>30</v>
      </c>
      <c r="K27" s="3">
        <v>45</v>
      </c>
      <c r="S27" s="6">
        <v>498.6</v>
      </c>
      <c r="T27">
        <v>20.873633484694086</v>
      </c>
      <c r="U27" s="16">
        <v>28.2</v>
      </c>
      <c r="V27" s="3">
        <v>30</v>
      </c>
      <c r="W27" s="6">
        <v>16.7</v>
      </c>
    </row>
    <row r="28" spans="7:23" ht="15" x14ac:dyDescent="0.25">
      <c r="G28" s="6">
        <v>580</v>
      </c>
      <c r="H28">
        <v>8.7888983093448783</v>
      </c>
      <c r="I28" s="7">
        <v>30</v>
      </c>
      <c r="J28" s="3">
        <v>24</v>
      </c>
      <c r="K28" s="3">
        <v>70</v>
      </c>
      <c r="S28">
        <v>510</v>
      </c>
      <c r="T28">
        <v>12.084735175349207</v>
      </c>
      <c r="U28">
        <v>18</v>
      </c>
      <c r="V28">
        <v>12</v>
      </c>
      <c r="W28" s="6">
        <v>86.700000000000045</v>
      </c>
    </row>
    <row r="29" spans="7:23" ht="15" x14ac:dyDescent="0.25">
      <c r="G29" s="6">
        <v>586.66666666666652</v>
      </c>
      <c r="H29">
        <v>14.281959752685427</v>
      </c>
      <c r="I29" s="7">
        <v>25.1</v>
      </c>
      <c r="J29" s="3">
        <v>24</v>
      </c>
      <c r="K29" s="3">
        <v>105.6</v>
      </c>
      <c r="S29" s="6"/>
      <c r="W29" s="9"/>
    </row>
    <row r="30" spans="7:23" ht="15" x14ac:dyDescent="0.25">
      <c r="G30" s="6">
        <v>589</v>
      </c>
      <c r="H30">
        <v>20.873633484694086</v>
      </c>
      <c r="I30" s="16">
        <v>28.2</v>
      </c>
      <c r="J30" s="3">
        <v>30</v>
      </c>
      <c r="K30" s="3">
        <v>75</v>
      </c>
      <c r="S30" s="6"/>
      <c r="W30" s="9"/>
    </row>
    <row r="31" spans="7:23" ht="15" x14ac:dyDescent="0.25">
      <c r="G31" s="6">
        <v>633.19672131147513</v>
      </c>
      <c r="H31">
        <v>14.281959752685427</v>
      </c>
      <c r="I31" s="7">
        <v>23</v>
      </c>
      <c r="J31" s="3">
        <v>12</v>
      </c>
      <c r="K31" s="3">
        <v>154.5</v>
      </c>
      <c r="S31" s="6"/>
      <c r="W31" s="9"/>
    </row>
    <row r="32" spans="7:23" ht="15" x14ac:dyDescent="0.25">
      <c r="G32" s="6">
        <v>657.63546798029574</v>
      </c>
      <c r="H32">
        <v>14.281959752685427</v>
      </c>
      <c r="I32" s="7">
        <v>23.3</v>
      </c>
      <c r="J32" s="3">
        <v>18</v>
      </c>
      <c r="K32" s="3">
        <v>133.5</v>
      </c>
      <c r="S32" s="6"/>
      <c r="W32" s="9"/>
    </row>
    <row r="33" spans="7:23" ht="15" x14ac:dyDescent="0.25">
      <c r="G33" s="6">
        <v>696.92307692307702</v>
      </c>
      <c r="H33">
        <v>14.281959752685427</v>
      </c>
      <c r="I33" s="7">
        <v>24</v>
      </c>
      <c r="J33" s="3">
        <v>8</v>
      </c>
      <c r="K33" s="3">
        <v>226.5</v>
      </c>
      <c r="S33" s="6"/>
      <c r="W33" s="9"/>
    </row>
    <row r="34" spans="7:23" ht="15" x14ac:dyDescent="0.25">
      <c r="G34" s="6">
        <v>740</v>
      </c>
      <c r="H34">
        <v>8.7888983093448783</v>
      </c>
      <c r="I34" s="3">
        <v>16.600000000000001</v>
      </c>
      <c r="J34" s="3">
        <v>72</v>
      </c>
      <c r="K34" s="3">
        <v>515.04</v>
      </c>
      <c r="S34" s="6"/>
      <c r="W34" s="9"/>
    </row>
    <row r="35" spans="7:23" x14ac:dyDescent="0.2">
      <c r="G35" s="6">
        <v>760</v>
      </c>
      <c r="H35">
        <v>12.084735175349207</v>
      </c>
      <c r="I35">
        <v>18</v>
      </c>
      <c r="J35">
        <v>12</v>
      </c>
      <c r="K35">
        <v>326.79999999999995</v>
      </c>
      <c r="S35" s="6"/>
      <c r="W35" s="9"/>
    </row>
    <row r="36" spans="7:23" ht="15" x14ac:dyDescent="0.25">
      <c r="G36" s="6">
        <v>923.9</v>
      </c>
      <c r="H36">
        <v>8.7888983093448783</v>
      </c>
      <c r="I36" s="3">
        <v>16.600000000000001</v>
      </c>
      <c r="J36" s="3">
        <v>48</v>
      </c>
      <c r="K36" s="3">
        <v>647.65390000000002</v>
      </c>
      <c r="S36" s="6"/>
      <c r="W36" s="9"/>
    </row>
    <row r="37" spans="7:23" ht="15" x14ac:dyDescent="0.25">
      <c r="G37" s="6">
        <v>960</v>
      </c>
      <c r="H37">
        <v>7.6902860206767683</v>
      </c>
      <c r="I37">
        <v>27.8</v>
      </c>
      <c r="J37" s="3">
        <v>72</v>
      </c>
      <c r="K37">
        <v>248</v>
      </c>
      <c r="S37" s="6"/>
      <c r="U37" s="3"/>
      <c r="V37" s="3"/>
      <c r="W37" s="6"/>
    </row>
    <row r="38" spans="7:23" ht="15" x14ac:dyDescent="0.25">
      <c r="G38" s="6">
        <v>960</v>
      </c>
      <c r="H38">
        <v>7.6902860206767683</v>
      </c>
      <c r="I38">
        <v>24.1</v>
      </c>
      <c r="J38" s="3">
        <v>48</v>
      </c>
      <c r="K38">
        <v>314</v>
      </c>
      <c r="S38" s="6"/>
      <c r="U38" s="3"/>
      <c r="V38" s="3"/>
      <c r="W38" s="6"/>
    </row>
    <row r="39" spans="7:23" ht="15" x14ac:dyDescent="0.25">
      <c r="G39" s="6">
        <v>960</v>
      </c>
      <c r="H39">
        <v>7.6902860206767683</v>
      </c>
      <c r="I39">
        <v>27.2</v>
      </c>
      <c r="J39" s="3">
        <v>24</v>
      </c>
      <c r="K39">
        <v>380</v>
      </c>
      <c r="S39" s="6"/>
      <c r="U39" s="3"/>
      <c r="V39" s="3"/>
      <c r="W39" s="6"/>
    </row>
    <row r="40" spans="7:23" ht="15" x14ac:dyDescent="0.25">
      <c r="G40" s="6"/>
      <c r="I40" s="3"/>
      <c r="J40" s="3"/>
      <c r="K40" s="3"/>
      <c r="S40" s="6"/>
      <c r="U40" s="3"/>
      <c r="V40" s="3"/>
      <c r="W40" s="6"/>
    </row>
    <row r="41" spans="7:23" ht="15" x14ac:dyDescent="0.25">
      <c r="G41" s="6"/>
      <c r="I41" s="3"/>
      <c r="J41" s="3"/>
      <c r="K41" s="3"/>
      <c r="S41" s="6"/>
      <c r="U41" s="3"/>
      <c r="V41" s="3"/>
      <c r="W41" s="6"/>
    </row>
    <row r="42" spans="7:23" ht="15" x14ac:dyDescent="0.25">
      <c r="G42" s="6"/>
      <c r="I42" s="3"/>
      <c r="J42" s="3"/>
      <c r="K42" s="3"/>
      <c r="S42" s="6"/>
      <c r="U42" s="3"/>
      <c r="V42" s="3"/>
      <c r="W42" s="6"/>
    </row>
    <row r="43" spans="7:23" ht="15" x14ac:dyDescent="0.25">
      <c r="G43" s="6"/>
      <c r="I43" s="3"/>
      <c r="J43" s="3"/>
      <c r="K43" s="3"/>
      <c r="S43" s="6"/>
      <c r="U43" s="3"/>
      <c r="V43" s="3"/>
      <c r="W43" s="6"/>
    </row>
    <row r="44" spans="7:23" ht="15" x14ac:dyDescent="0.25">
      <c r="G44" s="6"/>
      <c r="I44" s="10"/>
      <c r="J44" s="3"/>
      <c r="K44" s="6"/>
      <c r="S44" s="6"/>
      <c r="U44" s="10"/>
      <c r="V44" s="3"/>
      <c r="W44" s="6"/>
    </row>
    <row r="45" spans="7:23" ht="15" x14ac:dyDescent="0.25">
      <c r="G45" s="6"/>
      <c r="I45" s="25"/>
      <c r="J45" s="3"/>
      <c r="K45" s="3"/>
      <c r="S45" s="3"/>
      <c r="U45" s="25"/>
      <c r="V45" s="3"/>
      <c r="W45" s="3"/>
    </row>
    <row r="46" spans="7:23" ht="15" x14ac:dyDescent="0.25">
      <c r="G46" s="6"/>
      <c r="I46" s="25"/>
      <c r="J46" s="3"/>
      <c r="K46" s="3"/>
      <c r="S46" s="3"/>
      <c r="U46" s="25"/>
      <c r="V46" s="3"/>
      <c r="W46" s="3"/>
    </row>
    <row r="47" spans="7:23" ht="15" x14ac:dyDescent="0.25">
      <c r="G47" s="3"/>
      <c r="I47" s="7"/>
      <c r="J47" s="3"/>
      <c r="K47" s="3"/>
      <c r="S47" s="3"/>
      <c r="U47" s="7"/>
      <c r="V47" s="3"/>
      <c r="W47" s="3"/>
    </row>
    <row r="48" spans="7:23" ht="15" x14ac:dyDescent="0.25">
      <c r="G48" s="6"/>
      <c r="I48" s="29"/>
      <c r="J48" s="3"/>
      <c r="K48" s="3"/>
      <c r="S48" s="6"/>
      <c r="U48" s="29"/>
      <c r="V48" s="3"/>
      <c r="W48" s="3"/>
    </row>
    <row r="49" spans="7:23" ht="15" x14ac:dyDescent="0.25">
      <c r="G49" s="6"/>
      <c r="I49" s="29"/>
      <c r="J49" s="3"/>
      <c r="K49" s="3"/>
      <c r="S49" s="6"/>
      <c r="U49" s="29"/>
      <c r="V49" s="3"/>
      <c r="W49" s="3"/>
    </row>
    <row r="50" spans="7:23" ht="15" x14ac:dyDescent="0.25">
      <c r="G50" s="6"/>
      <c r="I50" s="29"/>
      <c r="J50" s="3"/>
      <c r="K50" s="3"/>
      <c r="S50" s="6"/>
      <c r="U50" s="29"/>
      <c r="V50" s="3"/>
      <c r="W50" s="3"/>
    </row>
    <row r="51" spans="7:23" ht="15" x14ac:dyDescent="0.25">
      <c r="G51" s="6"/>
      <c r="I51" s="29"/>
      <c r="J51" s="3"/>
      <c r="K51" s="3"/>
      <c r="S51" s="6"/>
      <c r="U51" s="29"/>
      <c r="V51" s="3"/>
      <c r="W51" s="3"/>
    </row>
    <row r="52" spans="7:23" ht="15" x14ac:dyDescent="0.25">
      <c r="G52" s="6"/>
      <c r="I52" s="29"/>
      <c r="J52" s="3"/>
      <c r="K52" s="3"/>
      <c r="S52" s="6"/>
      <c r="U52" s="29"/>
      <c r="V52" s="3"/>
      <c r="W52" s="3"/>
    </row>
  </sheetData>
  <sortState xmlns:xlrd2="http://schemas.microsoft.com/office/spreadsheetml/2017/richdata2" ref="P2:T52">
    <sortCondition ref="S2:S5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EDCE3-1AA9-45A4-8641-5D31629086BE}">
  <dimension ref="A1:AG25"/>
  <sheetViews>
    <sheetView zoomScale="80" zoomScaleNormal="8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Y14" sqref="Y14"/>
    </sheetView>
  </sheetViews>
  <sheetFormatPr defaultRowHeight="14.25" x14ac:dyDescent="0.2"/>
  <cols>
    <col min="9" max="9" width="3.5" customWidth="1"/>
    <col min="20" max="20" width="2.875" customWidth="1"/>
    <col min="21" max="21" width="14.375" customWidth="1"/>
    <col min="22" max="22" width="17.75" customWidth="1"/>
    <col min="23" max="23" width="17.375" customWidth="1"/>
    <col min="24" max="24" width="14.875" customWidth="1"/>
    <col min="25" max="25" width="19.5" customWidth="1"/>
    <col min="26" max="26" width="17.625" customWidth="1"/>
    <col min="27" max="27" width="1.75" customWidth="1"/>
    <col min="32" max="32" width="2.625" customWidth="1"/>
    <col min="33" max="33" width="18.25" bestFit="1" customWidth="1"/>
  </cols>
  <sheetData>
    <row r="1" spans="1:33" ht="28.5" customHeight="1" x14ac:dyDescent="0.2">
      <c r="U1" s="46" t="s">
        <v>181</v>
      </c>
      <c r="V1" s="46"/>
      <c r="W1" s="45" t="s">
        <v>184</v>
      </c>
      <c r="X1" s="45"/>
    </row>
    <row r="2" spans="1:33" x14ac:dyDescent="0.2"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  <c r="R2" t="s">
        <v>35</v>
      </c>
      <c r="S2" t="s">
        <v>36</v>
      </c>
      <c r="U2" t="s">
        <v>182</v>
      </c>
      <c r="V2" s="4" t="s">
        <v>183</v>
      </c>
      <c r="W2" t="s">
        <v>182</v>
      </c>
      <c r="X2" s="4" t="s">
        <v>183</v>
      </c>
      <c r="Y2" s="4"/>
      <c r="Z2" s="4"/>
      <c r="AB2" s="4"/>
      <c r="AC2" s="4"/>
      <c r="AD2" s="4"/>
      <c r="AE2" s="4"/>
      <c r="AG2" s="4"/>
    </row>
    <row r="3" spans="1:33" ht="15" x14ac:dyDescent="0.25">
      <c r="A3" t="s">
        <v>179</v>
      </c>
      <c r="B3" s="10">
        <v>9.8000000000000007</v>
      </c>
      <c r="C3">
        <v>19.3</v>
      </c>
      <c r="D3" s="3">
        <v>126</v>
      </c>
      <c r="E3" s="3">
        <v>14</v>
      </c>
      <c r="F3">
        <v>0.2</v>
      </c>
      <c r="G3" s="3">
        <v>48</v>
      </c>
      <c r="H3" s="3">
        <v>0.17</v>
      </c>
      <c r="AG3" t="s">
        <v>84</v>
      </c>
    </row>
    <row r="4" spans="1:33" ht="15" x14ac:dyDescent="0.25">
      <c r="A4" t="s">
        <v>179</v>
      </c>
      <c r="B4" s="10">
        <v>9.8000000000000007</v>
      </c>
      <c r="C4">
        <v>14.2</v>
      </c>
      <c r="D4">
        <v>32</v>
      </c>
      <c r="E4" s="3">
        <v>14</v>
      </c>
      <c r="F4">
        <v>0.6</v>
      </c>
      <c r="G4">
        <v>24</v>
      </c>
      <c r="H4">
        <v>0.34</v>
      </c>
    </row>
    <row r="5" spans="1:33" ht="15" x14ac:dyDescent="0.25">
      <c r="A5" t="s">
        <v>180</v>
      </c>
      <c r="B5" s="10">
        <v>9.8000000000000007</v>
      </c>
      <c r="C5">
        <v>10.5</v>
      </c>
      <c r="D5">
        <v>161</v>
      </c>
      <c r="E5" s="3">
        <v>14</v>
      </c>
      <c r="G5">
        <v>17</v>
      </c>
      <c r="H5">
        <v>0.42</v>
      </c>
    </row>
    <row r="6" spans="1:33" ht="15" x14ac:dyDescent="0.25">
      <c r="A6" t="s">
        <v>180</v>
      </c>
      <c r="B6" s="10">
        <v>9.8000000000000007</v>
      </c>
      <c r="C6">
        <v>17.600000000000001</v>
      </c>
      <c r="D6">
        <v>98</v>
      </c>
      <c r="E6" s="3">
        <v>14</v>
      </c>
      <c r="G6">
        <v>17</v>
      </c>
      <c r="H6">
        <v>0.39</v>
      </c>
    </row>
    <row r="7" spans="1:33" ht="15" x14ac:dyDescent="0.25">
      <c r="A7" t="s">
        <v>180</v>
      </c>
      <c r="B7" s="10">
        <v>9.8000000000000007</v>
      </c>
      <c r="C7">
        <v>16.899999999999999</v>
      </c>
      <c r="D7">
        <v>37</v>
      </c>
      <c r="E7" s="3">
        <v>14</v>
      </c>
      <c r="G7">
        <v>17</v>
      </c>
      <c r="H7">
        <v>0.53</v>
      </c>
    </row>
    <row r="8" spans="1:33" ht="15" x14ac:dyDescent="0.25">
      <c r="D8">
        <v>460</v>
      </c>
      <c r="G8" s="3">
        <v>26</v>
      </c>
      <c r="J8">
        <v>119</v>
      </c>
      <c r="K8">
        <v>323</v>
      </c>
      <c r="L8">
        <v>69</v>
      </c>
      <c r="M8">
        <v>42</v>
      </c>
      <c r="P8">
        <v>250</v>
      </c>
      <c r="Q8">
        <v>23</v>
      </c>
      <c r="U8">
        <v>32.6</v>
      </c>
      <c r="V8">
        <v>259</v>
      </c>
      <c r="X8">
        <v>22.1</v>
      </c>
    </row>
    <row r="9" spans="1:33" x14ac:dyDescent="0.2">
      <c r="G9">
        <f>(B7/G8)*24</f>
        <v>9.0461538461538478</v>
      </c>
    </row>
    <row r="10" spans="1:33" x14ac:dyDescent="0.2">
      <c r="M10">
        <f>J8*(1-M8/100)</f>
        <v>69.02000000000001</v>
      </c>
      <c r="N10" t="s">
        <v>185</v>
      </c>
      <c r="O10" t="s">
        <v>189</v>
      </c>
      <c r="X10">
        <f>X8+V8</f>
        <v>281.10000000000002</v>
      </c>
      <c r="Y10">
        <f>X10/D8</f>
        <v>0.61108695652173917</v>
      </c>
      <c r="Z10" t="s">
        <v>187</v>
      </c>
    </row>
    <row r="11" spans="1:33" x14ac:dyDescent="0.2">
      <c r="M11">
        <f>M10*G9</f>
        <v>624.36553846153868</v>
      </c>
      <c r="N11" t="s">
        <v>186</v>
      </c>
    </row>
    <row r="12" spans="1:33" ht="15" x14ac:dyDescent="0.25">
      <c r="B12">
        <v>12.5</v>
      </c>
      <c r="C12">
        <v>11.6</v>
      </c>
      <c r="E12" s="3">
        <v>14</v>
      </c>
      <c r="G12">
        <v>30</v>
      </c>
      <c r="H12">
        <v>0.38</v>
      </c>
      <c r="M12">
        <f>M11/1000</f>
        <v>0.62436553846153864</v>
      </c>
      <c r="N12" t="s">
        <v>187</v>
      </c>
      <c r="Y12">
        <f>Y10/M12</f>
        <v>0.97873267962143073</v>
      </c>
    </row>
    <row r="13" spans="1:33" ht="15" x14ac:dyDescent="0.25">
      <c r="B13">
        <v>12.5</v>
      </c>
      <c r="C13">
        <v>18.8</v>
      </c>
      <c r="E13" s="3">
        <v>14</v>
      </c>
      <c r="G13">
        <v>27</v>
      </c>
      <c r="H13">
        <v>0.33</v>
      </c>
      <c r="Y13">
        <f>Y12*1000</f>
        <v>978.73267962143075</v>
      </c>
    </row>
    <row r="14" spans="1:33" ht="15" x14ac:dyDescent="0.25">
      <c r="D14">
        <v>540</v>
      </c>
      <c r="G14" s="3">
        <v>28</v>
      </c>
      <c r="J14">
        <v>283</v>
      </c>
      <c r="K14">
        <v>407</v>
      </c>
      <c r="L14">
        <v>81</v>
      </c>
      <c r="M14">
        <v>42</v>
      </c>
      <c r="P14">
        <v>306</v>
      </c>
      <c r="Q14">
        <v>25</v>
      </c>
      <c r="V14">
        <v>0</v>
      </c>
      <c r="X14">
        <v>181</v>
      </c>
    </row>
    <row r="23" spans="3:6" x14ac:dyDescent="0.2">
      <c r="C23" s="32"/>
    </row>
    <row r="24" spans="3:6" x14ac:dyDescent="0.2">
      <c r="F24" s="9"/>
    </row>
    <row r="25" spans="3:6" x14ac:dyDescent="0.2">
      <c r="C25" s="32"/>
      <c r="D25" s="32"/>
    </row>
  </sheetData>
  <mergeCells count="2">
    <mergeCell ref="U1:V1"/>
    <mergeCell ref="W1:X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Sources</vt:lpstr>
      <vt:lpstr>Data</vt:lpstr>
      <vt:lpstr>Analysis</vt:lpstr>
      <vt:lpstr>Complexity</vt:lpstr>
      <vt:lpstr>Hydrolysis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2022-09-07T14:30:48Z</dcterms:created>
  <dcterms:modified xsi:type="dcterms:W3CDTF">2022-11-01T11:42:23Z</dcterms:modified>
</cp:coreProperties>
</file>