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C:\Users\Encina\Documents\Experiments\Chapter 2 -Transport\CORD\"/>
    </mc:Choice>
  </mc:AlternateContent>
  <xr:revisionPtr revIDLastSave="0" documentId="13_ncr:1_{6579B524-5938-4861-9D3E-837A2826401E}" xr6:coauthVersionLast="46" xr6:coauthVersionMax="46" xr10:uidLastSave="{00000000-0000-0000-0000-000000000000}"/>
  <bookViews>
    <workbookView xWindow="-108" yWindow="-108" windowWidth="23256" windowHeight="12576" activeTab="1" xr2:uid="{00000000-000D-0000-FFFF-FFFF00000000}"/>
  </bookViews>
  <sheets>
    <sheet name="Standards" sheetId="1" r:id="rId1"/>
    <sheet name="Kd-NTO" sheetId="2" r:id="rId2"/>
    <sheet name="Kd-DNAN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0" i="2" l="1"/>
  <c r="J20" i="2" s="1"/>
  <c r="I6" i="2"/>
  <c r="I7" i="2"/>
  <c r="I8" i="2"/>
  <c r="I9" i="2"/>
  <c r="I10" i="2"/>
  <c r="I11" i="2"/>
  <c r="I12" i="2"/>
  <c r="I13" i="2"/>
  <c r="I14" i="2"/>
  <c r="I15" i="2"/>
  <c r="I5" i="2"/>
  <c r="F6" i="2"/>
  <c r="F7" i="2"/>
  <c r="F8" i="2"/>
  <c r="F9" i="2"/>
  <c r="F10" i="2"/>
  <c r="F11" i="2"/>
  <c r="F12" i="2"/>
  <c r="F13" i="2"/>
  <c r="F14" i="2"/>
  <c r="F15" i="2"/>
  <c r="F5" i="2"/>
  <c r="I21" i="2"/>
  <c r="I22" i="2"/>
  <c r="I23" i="2"/>
  <c r="I24" i="2"/>
  <c r="I25" i="2"/>
  <c r="I26" i="2"/>
  <c r="I27" i="2"/>
  <c r="I28" i="2"/>
  <c r="I29" i="2"/>
  <c r="I30" i="2"/>
  <c r="I19" i="2"/>
  <c r="F21" i="2"/>
  <c r="F22" i="2"/>
  <c r="F23" i="2"/>
  <c r="F24" i="2"/>
  <c r="F25" i="2"/>
  <c r="F26" i="2"/>
  <c r="F27" i="2"/>
  <c r="F28" i="2"/>
  <c r="F29" i="2"/>
  <c r="F30" i="2"/>
  <c r="F20" i="2"/>
  <c r="J20" i="4"/>
  <c r="J21" i="4"/>
  <c r="J22" i="4"/>
  <c r="J23" i="4"/>
  <c r="J24" i="4"/>
  <c r="J25" i="4"/>
  <c r="J26" i="4"/>
  <c r="J27" i="4"/>
  <c r="J28" i="4"/>
  <c r="J29" i="4"/>
  <c r="J30" i="4"/>
  <c r="J19" i="4"/>
  <c r="K19" i="4" s="1"/>
  <c r="J6" i="4"/>
  <c r="J7" i="4"/>
  <c r="K7" i="4" s="1"/>
  <c r="J8" i="4"/>
  <c r="J9" i="4"/>
  <c r="J10" i="4"/>
  <c r="J11" i="4"/>
  <c r="J12" i="4"/>
  <c r="J13" i="4"/>
  <c r="J14" i="4"/>
  <c r="J15" i="4"/>
  <c r="J5" i="4"/>
  <c r="K4" i="4"/>
  <c r="F20" i="4"/>
  <c r="F21" i="4"/>
  <c r="F22" i="4"/>
  <c r="F23" i="4"/>
  <c r="F24" i="4"/>
  <c r="F25" i="4"/>
  <c r="F26" i="4"/>
  <c r="F27" i="4"/>
  <c r="F28" i="4"/>
  <c r="F29" i="4"/>
  <c r="F30" i="4"/>
  <c r="F19" i="4"/>
  <c r="F5" i="4"/>
  <c r="G5" i="4" s="1"/>
  <c r="F6" i="4"/>
  <c r="G6" i="4" s="1"/>
  <c r="F7" i="4"/>
  <c r="G7" i="4" s="1"/>
  <c r="F8" i="4"/>
  <c r="F9" i="4"/>
  <c r="F10" i="4"/>
  <c r="F11" i="4"/>
  <c r="F12" i="4"/>
  <c r="F13" i="4"/>
  <c r="F14" i="4"/>
  <c r="F15" i="4"/>
  <c r="F4" i="4"/>
  <c r="G22" i="4" l="1"/>
  <c r="G20" i="4"/>
  <c r="G21" i="4"/>
  <c r="G26" i="4"/>
  <c r="G27" i="4"/>
  <c r="K30" i="4"/>
  <c r="K29" i="4"/>
  <c r="K28" i="4"/>
  <c r="K27" i="4"/>
  <c r="K26" i="4"/>
  <c r="K25" i="4"/>
  <c r="K24" i="4"/>
  <c r="K23" i="4"/>
  <c r="K22" i="4"/>
  <c r="K21" i="4"/>
  <c r="K20" i="4"/>
  <c r="K15" i="4"/>
  <c r="G15" i="4"/>
  <c r="K14" i="4"/>
  <c r="G14" i="4"/>
  <c r="K13" i="4"/>
  <c r="G13" i="4"/>
  <c r="K12" i="4"/>
  <c r="K11" i="4"/>
  <c r="G11" i="4"/>
  <c r="K10" i="4"/>
  <c r="G10" i="4"/>
  <c r="K9" i="4"/>
  <c r="G9" i="4"/>
  <c r="K8" i="4"/>
  <c r="K6" i="4"/>
  <c r="K5" i="4"/>
  <c r="L4" i="4" s="1"/>
  <c r="J29" i="2"/>
  <c r="J21" i="2"/>
  <c r="J22" i="2"/>
  <c r="J24" i="2"/>
  <c r="J25" i="2"/>
  <c r="J26" i="2"/>
  <c r="J27" i="2"/>
  <c r="J28" i="2"/>
  <c r="J30" i="2"/>
  <c r="L8" i="4" l="1"/>
  <c r="L19" i="4"/>
  <c r="G25" i="4"/>
  <c r="G30" i="4"/>
  <c r="L27" i="4" s="1"/>
  <c r="G24" i="4"/>
  <c r="G29" i="4"/>
  <c r="G23" i="4"/>
  <c r="G28" i="4"/>
  <c r="L12" i="4"/>
  <c r="J12" i="2"/>
  <c r="J8" i="2"/>
  <c r="M4" i="4" l="1"/>
  <c r="L23" i="4"/>
  <c r="N19" i="4" s="1"/>
  <c r="K27" i="2"/>
  <c r="K19" i="2"/>
  <c r="N4" i="4"/>
  <c r="M19" i="4" l="1"/>
  <c r="K23" i="2"/>
  <c r="L19" i="2" s="1"/>
  <c r="J4" i="2"/>
  <c r="J14" i="2"/>
  <c r="J15" i="2"/>
  <c r="J5" i="2"/>
  <c r="J6" i="2"/>
  <c r="J7" i="2"/>
  <c r="J9" i="2"/>
  <c r="J10" i="2"/>
  <c r="J11" i="2"/>
  <c r="J13" i="2"/>
  <c r="B22" i="1"/>
  <c r="D26" i="1" s="1"/>
  <c r="K12" i="2" l="1"/>
  <c r="K4" i="2"/>
  <c r="M19" i="2"/>
  <c r="K8" i="2"/>
  <c r="D28" i="1"/>
  <c r="B7" i="1"/>
  <c r="L4" i="2" l="1"/>
  <c r="D12" i="1"/>
  <c r="D10" i="1"/>
  <c r="D11" i="1"/>
  <c r="M4" i="2"/>
  <c r="D29" i="1"/>
  <c r="D27" i="1"/>
  <c r="D13" i="1"/>
  <c r="I26" i="1" l="1"/>
  <c r="I25" i="1"/>
  <c r="I10" i="1"/>
  <c r="I9" i="1"/>
</calcChain>
</file>

<file path=xl/sharedStrings.xml><?xml version="1.0" encoding="utf-8"?>
<sst xmlns="http://schemas.openxmlformats.org/spreadsheetml/2006/main" count="146" uniqueCount="74">
  <si>
    <t>C (ppm)</t>
  </si>
  <si>
    <t>Stock</t>
  </si>
  <si>
    <t>m (mg)</t>
  </si>
  <si>
    <t>V (1L)</t>
  </si>
  <si>
    <t>Standards</t>
  </si>
  <si>
    <t>Conc (ppm)</t>
  </si>
  <si>
    <t>V (stock) mL</t>
  </si>
  <si>
    <t>100 mg</t>
  </si>
  <si>
    <t>NTO standards</t>
  </si>
  <si>
    <t>DNAN standards</t>
  </si>
  <si>
    <t>250mg/l</t>
  </si>
  <si>
    <t>NTO-sand</t>
  </si>
  <si>
    <t>Sample</t>
  </si>
  <si>
    <t>1-a</t>
  </si>
  <si>
    <t>1-b</t>
  </si>
  <si>
    <t>1-c</t>
  </si>
  <si>
    <t>Control</t>
  </si>
  <si>
    <t>2-a</t>
  </si>
  <si>
    <t>2-b</t>
  </si>
  <si>
    <t>2-c</t>
  </si>
  <si>
    <t>3-a</t>
  </si>
  <si>
    <t>3-b</t>
  </si>
  <si>
    <t>3-c</t>
  </si>
  <si>
    <t>M soil (g)</t>
  </si>
  <si>
    <t>Vol (ml)</t>
  </si>
  <si>
    <t>NTO-loam</t>
  </si>
  <si>
    <t>Area</t>
  </si>
  <si>
    <t>Corr area</t>
  </si>
  <si>
    <t>Supernatant</t>
  </si>
  <si>
    <t>Soil extraction</t>
  </si>
  <si>
    <t>Vol  (mL)</t>
  </si>
  <si>
    <t>C (mg/L)</t>
  </si>
  <si>
    <t>Blank</t>
  </si>
  <si>
    <t>slope</t>
  </si>
  <si>
    <t>interc</t>
  </si>
  <si>
    <t>C (mg/l)</t>
  </si>
  <si>
    <t>C (mg/kg)</t>
  </si>
  <si>
    <t>Kd</t>
  </si>
  <si>
    <t>Value</t>
  </si>
  <si>
    <t>Average</t>
  </si>
  <si>
    <t>SD</t>
  </si>
  <si>
    <t>7-a</t>
  </si>
  <si>
    <t>8-a</t>
  </si>
  <si>
    <t>9-a</t>
  </si>
  <si>
    <t>7-b</t>
  </si>
  <si>
    <t>8-b</t>
  </si>
  <si>
    <t>9-b</t>
  </si>
  <si>
    <t>7-c</t>
  </si>
  <si>
    <t>8-c</t>
  </si>
  <si>
    <t>9-c</t>
  </si>
  <si>
    <t>10-a</t>
  </si>
  <si>
    <t>11-a</t>
  </si>
  <si>
    <t>12-a</t>
  </si>
  <si>
    <t>10-b</t>
  </si>
  <si>
    <t>11-b</t>
  </si>
  <si>
    <t>12-b</t>
  </si>
  <si>
    <t>10-c</t>
  </si>
  <si>
    <t>11-c</t>
  </si>
  <si>
    <t>12-c</t>
  </si>
  <si>
    <t>Blamk</t>
  </si>
  <si>
    <t>Interc</t>
  </si>
  <si>
    <t>4-a</t>
  </si>
  <si>
    <t>5-a</t>
  </si>
  <si>
    <t>6-a</t>
  </si>
  <si>
    <t>4-b</t>
  </si>
  <si>
    <t>5-b</t>
  </si>
  <si>
    <t>6-b</t>
  </si>
  <si>
    <t>4-c</t>
  </si>
  <si>
    <t>5-c</t>
  </si>
  <si>
    <t>6-c</t>
  </si>
  <si>
    <t>DNAN</t>
  </si>
  <si>
    <t>V final (mL)</t>
  </si>
  <si>
    <t>DNAN-sand</t>
  </si>
  <si>
    <t>DNAN loam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</si>
</sst>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7" formatCode="0.0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/>
    </xf>
    <xf numFmtId="17" fontId="0" fillId="0" borderId="0" xfId="0" applyNumberFormat="1"/>
    <xf numFmtId="164" fontId="0" fillId="0" borderId="0" xfId="0" applyNumberFormat="1"/>
    <xf numFmtId="1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0" fillId="6" borderId="4" xfId="0" applyFill="1" applyBorder="1" applyAlignment="1">
      <alignment horizontal="center" vertical="center"/>
    </xf>
    <xf numFmtId="1" fontId="0" fillId="6" borderId="5" xfId="0" applyNumberFormat="1" applyFill="1" applyBorder="1" applyAlignment="1">
      <alignment horizontal="center" vertical="center"/>
    </xf>
    <xf numFmtId="0" fontId="0" fillId="6" borderId="6" xfId="0" applyFill="1" applyBorder="1" applyAlignment="1">
      <alignment horizontal="center" vertical="center"/>
    </xf>
    <xf numFmtId="1" fontId="0" fillId="6" borderId="7" xfId="0" applyNumberFormat="1" applyFill="1" applyBorder="1" applyAlignment="1">
      <alignment horizontal="center" vertical="center"/>
    </xf>
    <xf numFmtId="165" fontId="0" fillId="0" borderId="0" xfId="0" applyNumberFormat="1" applyAlignment="1">
      <alignment horizontal="center"/>
    </xf>
    <xf numFmtId="165" fontId="0" fillId="0" borderId="1" xfId="0" applyNumberFormat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0" fillId="5" borderId="0" xfId="0" applyFill="1" applyAlignment="1">
      <alignment horizontal="center"/>
    </xf>
    <xf numFmtId="167" fontId="0" fillId="0" borderId="0" xfId="0" applyNumberFormat="1" applyAlignment="1">
      <alignment horizontal="center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9900"/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NTO- standards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1"/>
          <c:order val="0"/>
          <c:spPr>
            <a:ln>
              <a:noFill/>
            </a:ln>
          </c:spPr>
          <c:xVal>
            <c:numRef>
              <c:f>Standards!$D$10:$D$13</c:f>
              <c:numCache>
                <c:formatCode>0</c:formatCode>
                <c:ptCount val="4"/>
                <c:pt idx="0">
                  <c:v>0</c:v>
                </c:pt>
                <c:pt idx="1">
                  <c:v>10.0656</c:v>
                </c:pt>
                <c:pt idx="2">
                  <c:v>19.571999999999999</c:v>
                </c:pt>
                <c:pt idx="3">
                  <c:v>39.143999999999998</c:v>
                </c:pt>
              </c:numCache>
            </c:numRef>
          </c:xVal>
          <c:yVal>
            <c:numRef>
              <c:f>Standards!$E$10:$E$13</c:f>
              <c:numCache>
                <c:formatCode>General</c:formatCode>
                <c:ptCount val="4"/>
                <c:pt idx="0">
                  <c:v>0</c:v>
                </c:pt>
                <c:pt idx="1">
                  <c:v>75402</c:v>
                </c:pt>
                <c:pt idx="2">
                  <c:v>138228</c:v>
                </c:pt>
                <c:pt idx="3">
                  <c:v>275991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510-4A2D-99CD-27B03CBFD4B0}"/>
            </c:ext>
          </c:extLst>
        </c:ser>
        <c:ser>
          <c:idx val="0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Standards!$D$10:$D$13</c:f>
              <c:numCache>
                <c:formatCode>0</c:formatCode>
                <c:ptCount val="4"/>
                <c:pt idx="0">
                  <c:v>0</c:v>
                </c:pt>
                <c:pt idx="1">
                  <c:v>10.0656</c:v>
                </c:pt>
                <c:pt idx="2">
                  <c:v>19.571999999999999</c:v>
                </c:pt>
                <c:pt idx="3">
                  <c:v>39.143999999999998</c:v>
                </c:pt>
              </c:numCache>
            </c:numRef>
          </c:xVal>
          <c:yVal>
            <c:numRef>
              <c:f>Standards!$E$10:$E$13</c:f>
              <c:numCache>
                <c:formatCode>General</c:formatCode>
                <c:ptCount val="4"/>
                <c:pt idx="0">
                  <c:v>0</c:v>
                </c:pt>
                <c:pt idx="1">
                  <c:v>75402</c:v>
                </c:pt>
                <c:pt idx="2">
                  <c:v>138228</c:v>
                </c:pt>
                <c:pt idx="3">
                  <c:v>275991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510-4A2D-99CD-27B03CBFD4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2369839"/>
        <c:axId val="562371503"/>
      </c:scatterChart>
      <c:valAx>
        <c:axId val="5623698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2371503"/>
        <c:crosses val="autoZero"/>
        <c:crossBetween val="midCat"/>
      </c:valAx>
      <c:valAx>
        <c:axId val="5623715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2369839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DNAN- standards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Standards!$D$26:$D$29</c:f>
              <c:numCache>
                <c:formatCode>0</c:formatCode>
                <c:ptCount val="4"/>
                <c:pt idx="0">
                  <c:v>0</c:v>
                </c:pt>
                <c:pt idx="1">
                  <c:v>10.029999999999999</c:v>
                </c:pt>
                <c:pt idx="2">
                  <c:v>20.059999999999999</c:v>
                </c:pt>
                <c:pt idx="3">
                  <c:v>40.119999999999997</c:v>
                </c:pt>
              </c:numCache>
            </c:numRef>
          </c:xVal>
          <c:yVal>
            <c:numRef>
              <c:f>Standards!$E$26:$E$29</c:f>
              <c:numCache>
                <c:formatCode>General</c:formatCode>
                <c:ptCount val="4"/>
                <c:pt idx="0">
                  <c:v>0</c:v>
                </c:pt>
                <c:pt idx="1">
                  <c:v>149906</c:v>
                </c:pt>
                <c:pt idx="2">
                  <c:v>308595</c:v>
                </c:pt>
                <c:pt idx="3">
                  <c:v>612195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93A-4D18-82AE-BA13CD89BA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2369839"/>
        <c:axId val="562371503"/>
      </c:scatterChart>
      <c:valAx>
        <c:axId val="5623698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2371503"/>
        <c:crosses val="autoZero"/>
        <c:crossBetween val="midCat"/>
      </c:valAx>
      <c:valAx>
        <c:axId val="5623715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236983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Kd- 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2791776027996496E-2"/>
          <c:y val="0.16001652822893975"/>
          <c:w val="0.88398600174978126"/>
          <c:h val="0.68806498317456555"/>
        </c:manualLayout>
      </c:layout>
      <c:scatterChart>
        <c:scatterStyle val="lineMarker"/>
        <c:varyColors val="0"/>
        <c:ser>
          <c:idx val="3"/>
          <c:order val="0"/>
          <c:tx>
            <c:v>NTO-A</c:v>
          </c:tx>
          <c:spPr>
            <a:ln>
              <a:noFill/>
            </a:ln>
          </c:spPr>
          <c:marker>
            <c:symbol val="circle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</a:ln>
            </c:spPr>
          </c:marker>
          <c:trendline>
            <c:spPr>
              <a:ln w="6350" cap="flat" cmpd="sng" algn="ctr">
                <a:solidFill>
                  <a:schemeClr val="accent6"/>
                </a:solidFill>
                <a:prstDash val="solid"/>
                <a:miter lim="800000"/>
              </a:ln>
              <a:effectLst/>
            </c:spPr>
            <c:trendlineType val="linear"/>
            <c:dispRSqr val="0"/>
            <c:dispEq val="0"/>
          </c:trendline>
          <c:xVal>
            <c:numRef>
              <c:f>'Kd-NTO'!$F$4:$F$7</c:f>
              <c:numCache>
                <c:formatCode>0</c:formatCode>
                <c:ptCount val="4"/>
                <c:pt idx="0" formatCode="General">
                  <c:v>0</c:v>
                </c:pt>
                <c:pt idx="1">
                  <c:v>11.218252772957049</c:v>
                </c:pt>
                <c:pt idx="2">
                  <c:v>21.749917675505895</c:v>
                </c:pt>
                <c:pt idx="3">
                  <c:v>48.14088999558048</c:v>
                </c:pt>
              </c:numCache>
            </c:numRef>
          </c:xVal>
          <c:yVal>
            <c:numRef>
              <c:f>'Kd-NTO'!$J$4:$J$7</c:f>
              <c:numCache>
                <c:formatCode>0</c:formatCode>
                <c:ptCount val="4"/>
                <c:pt idx="0">
                  <c:v>0</c:v>
                </c:pt>
                <c:pt idx="1">
                  <c:v>3.0325656401687602</c:v>
                </c:pt>
                <c:pt idx="2">
                  <c:v>8.9364744206805113</c:v>
                </c:pt>
                <c:pt idx="3">
                  <c:v>16.6064253325533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4555-481D-9960-6F3D00F9777A}"/>
            </c:ext>
          </c:extLst>
        </c:ser>
        <c:ser>
          <c:idx val="4"/>
          <c:order val="1"/>
          <c:tx>
            <c:v>NTO-B</c:v>
          </c:tx>
          <c:spPr>
            <a:ln w="25400">
              <a:noFill/>
            </a:ln>
          </c:spPr>
          <c:trendline>
            <c:spPr>
              <a:ln w="6350" cap="flat" cmpd="sng" algn="ctr">
                <a:solidFill>
                  <a:schemeClr val="accent6"/>
                </a:solidFill>
                <a:prstDash val="solid"/>
                <a:miter lim="800000"/>
              </a:ln>
              <a:effectLst/>
            </c:spPr>
            <c:trendlineType val="linear"/>
            <c:dispRSqr val="0"/>
            <c:dispEq val="0"/>
          </c:trendline>
          <c:xVal>
            <c:numRef>
              <c:f>('Kd-NTO'!$F$4,'Kd-NTO'!$F$9:$F$11)</c:f>
              <c:numCache>
                <c:formatCode>0</c:formatCode>
                <c:ptCount val="4"/>
                <c:pt idx="0" formatCode="General">
                  <c:v>0</c:v>
                </c:pt>
                <c:pt idx="1">
                  <c:v>11.428563831690914</c:v>
                </c:pt>
                <c:pt idx="2">
                  <c:v>21.409142468472716</c:v>
                </c:pt>
                <c:pt idx="3">
                  <c:v>50.29775466369383</c:v>
                </c:pt>
              </c:numCache>
            </c:numRef>
          </c:xVal>
          <c:yVal>
            <c:numRef>
              <c:f>('Kd-NTO'!$J$4,'Kd-NTO'!$J$9:$J$11)</c:f>
              <c:numCache>
                <c:formatCode>0</c:formatCode>
                <c:ptCount val="4"/>
                <c:pt idx="0">
                  <c:v>0</c:v>
                </c:pt>
                <c:pt idx="1">
                  <c:v>3.5885443039650431</c:v>
                </c:pt>
                <c:pt idx="2">
                  <c:v>7.4430816743504344</c:v>
                </c:pt>
                <c:pt idx="3">
                  <c:v>17.579081770742437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4555-481D-9960-6F3D00F9777A}"/>
            </c:ext>
          </c:extLst>
        </c:ser>
        <c:ser>
          <c:idx val="5"/>
          <c:order val="2"/>
          <c:tx>
            <c:v>NTO-C</c:v>
          </c:tx>
          <c:spPr>
            <a:ln w="25400">
              <a:noFill/>
            </a:ln>
          </c:spPr>
          <c:trendline>
            <c:spPr>
              <a:ln w="6350" cap="flat" cmpd="sng" algn="ctr">
                <a:solidFill>
                  <a:schemeClr val="accent6"/>
                </a:solidFill>
                <a:prstDash val="solid"/>
                <a:miter lim="800000"/>
              </a:ln>
              <a:effectLst/>
            </c:spPr>
            <c:trendlineType val="linear"/>
            <c:dispRSqr val="0"/>
            <c:dispEq val="0"/>
          </c:trendline>
          <c:xVal>
            <c:numRef>
              <c:f>('Kd-NTO'!$F$4,'Kd-NTO'!$F$13:$F$15)</c:f>
              <c:numCache>
                <c:formatCode>0</c:formatCode>
                <c:ptCount val="4"/>
                <c:pt idx="0" formatCode="General">
                  <c:v>0</c:v>
                </c:pt>
                <c:pt idx="1">
                  <c:v>11.379515015281118</c:v>
                </c:pt>
                <c:pt idx="2">
                  <c:v>21.977481370244369</c:v>
                </c:pt>
                <c:pt idx="3">
                  <c:v>49.239355349130108</c:v>
                </c:pt>
              </c:numCache>
            </c:numRef>
          </c:xVal>
          <c:yVal>
            <c:numRef>
              <c:f>('Kd-NTO'!$J$4,'Kd-NTO'!$J$13:$J$15)</c:f>
              <c:numCache>
                <c:formatCode>0</c:formatCode>
                <c:ptCount val="4"/>
                <c:pt idx="0">
                  <c:v>0</c:v>
                </c:pt>
                <c:pt idx="1">
                  <c:v>3.6147459618960447</c:v>
                </c:pt>
                <c:pt idx="2">
                  <c:v>6.5803349712982904</c:v>
                </c:pt>
                <c:pt idx="3">
                  <c:v>15.137927597121461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4555-481D-9960-6F3D00F9777A}"/>
            </c:ext>
          </c:extLst>
        </c:ser>
        <c:ser>
          <c:idx val="0"/>
          <c:order val="3"/>
          <c:tx>
            <c:v>NTO-A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6350" cap="flat" cmpd="sng" algn="ctr">
                <a:solidFill>
                  <a:schemeClr val="accent1"/>
                </a:solidFill>
                <a:prstDash val="solid"/>
                <a:miter lim="800000"/>
              </a:ln>
              <a:effectLst/>
            </c:spPr>
            <c:trendlineType val="linear"/>
            <c:dispRSqr val="0"/>
            <c:dispEq val="0"/>
          </c:trendline>
          <c:xVal>
            <c:numRef>
              <c:f>'Kd-NTO'!$F$19:$F$22</c:f>
              <c:numCache>
                <c:formatCode>0</c:formatCode>
                <c:ptCount val="4"/>
                <c:pt idx="0" formatCode="General">
                  <c:v>0</c:v>
                </c:pt>
                <c:pt idx="1">
                  <c:v>7.0478201242066421</c:v>
                </c:pt>
                <c:pt idx="2">
                  <c:v>15.463541900239848</c:v>
                </c:pt>
                <c:pt idx="3">
                  <c:v>36.082580682276713</c:v>
                </c:pt>
              </c:numCache>
            </c:numRef>
          </c:xVal>
          <c:yVal>
            <c:numRef>
              <c:f>'Kd-NTO'!$J$19:$J$22</c:f>
              <c:numCache>
                <c:formatCode>0</c:formatCode>
                <c:ptCount val="4"/>
                <c:pt idx="0">
                  <c:v>0</c:v>
                </c:pt>
                <c:pt idx="1">
                  <c:v>3.0895044707436412</c:v>
                </c:pt>
                <c:pt idx="2">
                  <c:v>5.8362554339303969</c:v>
                </c:pt>
                <c:pt idx="3">
                  <c:v>8.2046492635669015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555-481D-9960-6F3D00F9777A}"/>
            </c:ext>
          </c:extLst>
        </c:ser>
        <c:ser>
          <c:idx val="1"/>
          <c:order val="4"/>
          <c:tx>
            <c:v>NTO-B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6350" cap="flat" cmpd="sng" algn="ctr">
                <a:solidFill>
                  <a:schemeClr val="accent1"/>
                </a:solidFill>
                <a:prstDash val="solid"/>
                <a:miter lim="800000"/>
              </a:ln>
              <a:effectLst/>
            </c:spPr>
            <c:trendlineType val="linear"/>
            <c:dispRSqr val="0"/>
            <c:dispEq val="0"/>
          </c:trendline>
          <c:xVal>
            <c:numRef>
              <c:f>'Kd-NTO'!$F$23:$F$26</c:f>
              <c:numCache>
                <c:formatCode>0</c:formatCode>
                <c:ptCount val="4"/>
                <c:pt idx="0">
                  <c:v>-0.25760184548038484</c:v>
                </c:pt>
                <c:pt idx="1">
                  <c:v>7.7838375378908564</c:v>
                </c:pt>
                <c:pt idx="2">
                  <c:v>16.666378572428929</c:v>
                </c:pt>
                <c:pt idx="3">
                  <c:v>36.83684881834597</c:v>
                </c:pt>
              </c:numCache>
            </c:numRef>
          </c:xVal>
          <c:yVal>
            <c:numRef>
              <c:f>'Kd-NTO'!$J$23:$J$26</c:f>
              <c:numCache>
                <c:formatCode>0</c:formatCode>
                <c:ptCount val="4"/>
                <c:pt idx="0">
                  <c:v>0</c:v>
                </c:pt>
                <c:pt idx="1">
                  <c:v>2.7522720359815809</c:v>
                </c:pt>
                <c:pt idx="2">
                  <c:v>6.7948792426260454</c:v>
                </c:pt>
                <c:pt idx="3">
                  <c:v>8.7899978259158562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555-481D-9960-6F3D00F9777A}"/>
            </c:ext>
          </c:extLst>
        </c:ser>
        <c:ser>
          <c:idx val="2"/>
          <c:order val="5"/>
          <c:tx>
            <c:v>NTO-C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6350" cap="flat" cmpd="sng" algn="ctr">
                <a:solidFill>
                  <a:schemeClr val="accent1"/>
                </a:solidFill>
                <a:prstDash val="solid"/>
                <a:miter lim="800000"/>
              </a:ln>
              <a:effectLst/>
            </c:spPr>
            <c:trendlineType val="linear"/>
            <c:dispRSqr val="0"/>
            <c:dispEq val="0"/>
          </c:trendline>
          <c:xVal>
            <c:numRef>
              <c:f>'Kd-NTO'!$F$27:$F$30</c:f>
              <c:numCache>
                <c:formatCode>0</c:formatCode>
                <c:ptCount val="4"/>
                <c:pt idx="0">
                  <c:v>-0.25760184548038484</c:v>
                </c:pt>
                <c:pt idx="1">
                  <c:v>7.637118839967366</c:v>
                </c:pt>
                <c:pt idx="2">
                  <c:v>17.611423790929312</c:v>
                </c:pt>
                <c:pt idx="3">
                  <c:v>37.048300547228898</c:v>
                </c:pt>
              </c:numCache>
            </c:numRef>
          </c:xVal>
          <c:yVal>
            <c:numRef>
              <c:f>'Kd-NTO'!$J$27:$J$30</c:f>
              <c:numCache>
                <c:formatCode>0</c:formatCode>
                <c:ptCount val="4"/>
                <c:pt idx="0">
                  <c:v>0</c:v>
                </c:pt>
                <c:pt idx="1">
                  <c:v>2.3950429074226278</c:v>
                </c:pt>
                <c:pt idx="2">
                  <c:v>5.6065794564936189</c:v>
                </c:pt>
                <c:pt idx="3">
                  <c:v>9.6286588879371724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4555-481D-9960-6F3D00F977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6020511"/>
        <c:axId val="726032159"/>
      </c:scatterChart>
      <c:valAx>
        <c:axId val="7260205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NTO water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6032159"/>
        <c:crosses val="autoZero"/>
        <c:crossBetween val="midCat"/>
      </c:valAx>
      <c:valAx>
        <c:axId val="72603215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NTO soil (mg/kg)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6020511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Kd- DNAN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3"/>
          <c:order val="0"/>
          <c:tx>
            <c:v>NTO-A</c:v>
          </c:tx>
          <c:spPr>
            <a:ln>
              <a:noFill/>
            </a:ln>
          </c:spPr>
          <c:trendline>
            <c:spPr>
              <a:ln w="6350" cap="flat" cmpd="sng" algn="ctr">
                <a:solidFill>
                  <a:schemeClr val="accent6"/>
                </a:solidFill>
                <a:prstDash val="solid"/>
                <a:miter lim="800000"/>
              </a:ln>
              <a:effectLst/>
            </c:spPr>
            <c:trendlineType val="linear"/>
            <c:dispRSqr val="0"/>
            <c:dispEq val="0"/>
          </c:trendline>
          <c:xVal>
            <c:numRef>
              <c:f>'Kd-DNAN'!$G$4:$G$7</c:f>
              <c:numCache>
                <c:formatCode>0</c:formatCode>
                <c:ptCount val="4"/>
                <c:pt idx="0" formatCode="General">
                  <c:v>0</c:v>
                </c:pt>
                <c:pt idx="1">
                  <c:v>8.1378431656332548</c:v>
                </c:pt>
                <c:pt idx="2">
                  <c:v>16.637706529335592</c:v>
                </c:pt>
                <c:pt idx="3">
                  <c:v>33.415568049737807</c:v>
                </c:pt>
              </c:numCache>
            </c:numRef>
          </c:xVal>
          <c:yVal>
            <c:numRef>
              <c:f>'Kd-DNAN'!$K$4:$K$7</c:f>
              <c:numCache>
                <c:formatCode>0</c:formatCode>
                <c:ptCount val="4"/>
                <c:pt idx="0">
                  <c:v>0</c:v>
                </c:pt>
                <c:pt idx="1">
                  <c:v>1.9867408964658471</c:v>
                </c:pt>
                <c:pt idx="2">
                  <c:v>4.5146781808667438</c:v>
                </c:pt>
                <c:pt idx="3">
                  <c:v>8.6520127856427482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445-427D-906B-8C62D5654393}"/>
            </c:ext>
          </c:extLst>
        </c:ser>
        <c:ser>
          <c:idx val="4"/>
          <c:order val="1"/>
          <c:tx>
            <c:v>NTO-B</c:v>
          </c:tx>
          <c:spPr>
            <a:ln w="25400">
              <a:noFill/>
            </a:ln>
          </c:spPr>
          <c:trendline>
            <c:spPr>
              <a:ln w="6350" cap="flat" cmpd="sng" algn="ctr">
                <a:solidFill>
                  <a:schemeClr val="accent6"/>
                </a:solidFill>
                <a:prstDash val="solid"/>
                <a:miter lim="800000"/>
              </a:ln>
              <a:effectLst/>
            </c:spPr>
            <c:trendlineType val="linear"/>
            <c:dispRSqr val="0"/>
            <c:dispEq val="0"/>
          </c:trendline>
          <c:xVal>
            <c:numRef>
              <c:f>('Kd-DNAN'!$G$4,'Kd-DNAN'!$G$9:$G$11)</c:f>
              <c:numCache>
                <c:formatCode>0</c:formatCode>
                <c:ptCount val="4"/>
                <c:pt idx="0" formatCode="General">
                  <c:v>0</c:v>
                </c:pt>
                <c:pt idx="1">
                  <c:v>7.9202936390499463</c:v>
                </c:pt>
                <c:pt idx="2">
                  <c:v>16.195741620956696</c:v>
                </c:pt>
                <c:pt idx="3">
                  <c:v>32.920507194383966</c:v>
                </c:pt>
              </c:numCache>
            </c:numRef>
          </c:xVal>
          <c:yVal>
            <c:numRef>
              <c:f>('Kd-DNAN'!$K$4,'Kd-DNAN'!$K$9:$K$11)</c:f>
              <c:numCache>
                <c:formatCode>0</c:formatCode>
                <c:ptCount val="4"/>
                <c:pt idx="0">
                  <c:v>0</c:v>
                </c:pt>
                <c:pt idx="1">
                  <c:v>1.7663722285080259</c:v>
                </c:pt>
                <c:pt idx="2">
                  <c:v>4.709529001762907</c:v>
                </c:pt>
                <c:pt idx="3">
                  <c:v>9.2280823069801645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445-427D-906B-8C62D5654393}"/>
            </c:ext>
          </c:extLst>
        </c:ser>
        <c:ser>
          <c:idx val="5"/>
          <c:order val="2"/>
          <c:tx>
            <c:v>NTO-C</c:v>
          </c:tx>
          <c:spPr>
            <a:ln w="25400">
              <a:noFill/>
            </a:ln>
          </c:spPr>
          <c:trendline>
            <c:spPr>
              <a:ln w="6350" cap="flat" cmpd="sng" algn="ctr">
                <a:solidFill>
                  <a:schemeClr val="accent6"/>
                </a:solidFill>
                <a:prstDash val="solid"/>
                <a:miter lim="800000"/>
              </a:ln>
              <a:effectLst/>
            </c:spPr>
            <c:trendlineType val="linear"/>
            <c:dispRSqr val="0"/>
            <c:dispEq val="0"/>
          </c:trendline>
          <c:xVal>
            <c:numRef>
              <c:f>('Kd-DNAN'!$G$4,'Kd-DNAN'!$G$13:$G$15)</c:f>
              <c:numCache>
                <c:formatCode>0</c:formatCode>
                <c:ptCount val="4"/>
                <c:pt idx="0" formatCode="General">
                  <c:v>0</c:v>
                </c:pt>
                <c:pt idx="1">
                  <c:v>6.6921556143166434</c:v>
                </c:pt>
                <c:pt idx="2">
                  <c:v>15.312204138782466</c:v>
                </c:pt>
                <c:pt idx="3">
                  <c:v>34.620296777652108</c:v>
                </c:pt>
              </c:numCache>
            </c:numRef>
          </c:xVal>
          <c:yVal>
            <c:numRef>
              <c:f>('Kd-DNAN'!$K$4,'Kd-DNAN'!$K$13:$K$15)</c:f>
              <c:numCache>
                <c:formatCode>0</c:formatCode>
                <c:ptCount val="4"/>
                <c:pt idx="0">
                  <c:v>0</c:v>
                </c:pt>
                <c:pt idx="1">
                  <c:v>2.0999990321571675</c:v>
                </c:pt>
                <c:pt idx="2">
                  <c:v>4.3050985652354488</c:v>
                </c:pt>
                <c:pt idx="3">
                  <c:v>8.270816625464958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445-427D-906B-8C62D5654393}"/>
            </c:ext>
          </c:extLst>
        </c:ser>
        <c:ser>
          <c:idx val="0"/>
          <c:order val="3"/>
          <c:tx>
            <c:v>NTO-A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6350" cap="flat" cmpd="sng" algn="ctr">
                <a:solidFill>
                  <a:schemeClr val="accent1"/>
                </a:solidFill>
                <a:prstDash val="solid"/>
                <a:miter lim="800000"/>
              </a:ln>
              <a:effectLst/>
            </c:spPr>
            <c:trendlineType val="linear"/>
            <c:dispRSqr val="0"/>
            <c:dispEq val="0"/>
          </c:trendline>
          <c:xVal>
            <c:numRef>
              <c:f>'Kd-DNAN'!$G$19:$G$22</c:f>
              <c:numCache>
                <c:formatCode>0</c:formatCode>
                <c:ptCount val="4"/>
                <c:pt idx="0" formatCode="General">
                  <c:v>0</c:v>
                </c:pt>
                <c:pt idx="1">
                  <c:v>0.82910759761518238</c:v>
                </c:pt>
                <c:pt idx="2">
                  <c:v>1.8699058586991977</c:v>
                </c:pt>
                <c:pt idx="3">
                  <c:v>5.9922307172478932</c:v>
                </c:pt>
              </c:numCache>
            </c:numRef>
          </c:xVal>
          <c:yVal>
            <c:numRef>
              <c:f>'Kd-DNAN'!$K$19:$K$22</c:f>
              <c:numCache>
                <c:formatCode>0</c:formatCode>
                <c:ptCount val="4"/>
                <c:pt idx="0">
                  <c:v>9.8486640326068436E-2</c:v>
                </c:pt>
                <c:pt idx="1">
                  <c:v>14.175398109050885</c:v>
                </c:pt>
                <c:pt idx="2">
                  <c:v>22.078016481087253</c:v>
                </c:pt>
                <c:pt idx="3">
                  <c:v>47.082718416437359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445-427D-906B-8C62D5654393}"/>
            </c:ext>
          </c:extLst>
        </c:ser>
        <c:ser>
          <c:idx val="1"/>
          <c:order val="4"/>
          <c:tx>
            <c:v>NTO-B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6350" cap="flat" cmpd="sng" algn="ctr">
                <a:solidFill>
                  <a:schemeClr val="accent1"/>
                </a:solidFill>
                <a:prstDash val="solid"/>
                <a:miter lim="800000"/>
              </a:ln>
              <a:effectLst/>
            </c:spPr>
            <c:trendlineType val="linear"/>
            <c:dispRSqr val="0"/>
            <c:dispEq val="0"/>
          </c:trendline>
          <c:xVal>
            <c:numRef>
              <c:f>'Kd-DNAN'!$G$23:$G$26</c:f>
              <c:numCache>
                <c:formatCode>0</c:formatCode>
                <c:ptCount val="4"/>
                <c:pt idx="0">
                  <c:v>4.9538780084012426E-2</c:v>
                </c:pt>
                <c:pt idx="1">
                  <c:v>0.84676265387532457</c:v>
                </c:pt>
                <c:pt idx="2">
                  <c:v>1.9352295668617241</c:v>
                </c:pt>
                <c:pt idx="3">
                  <c:v>4.2558232395142728</c:v>
                </c:pt>
              </c:numCache>
            </c:numRef>
          </c:xVal>
          <c:yVal>
            <c:numRef>
              <c:f>'Kd-DNAN'!$K$23:$K$26</c:f>
              <c:numCache>
                <c:formatCode>0</c:formatCode>
                <c:ptCount val="4"/>
                <c:pt idx="0">
                  <c:v>9.8486640326068436E-2</c:v>
                </c:pt>
                <c:pt idx="1">
                  <c:v>15.509123886173668</c:v>
                </c:pt>
                <c:pt idx="2">
                  <c:v>29.274555274330016</c:v>
                </c:pt>
                <c:pt idx="3">
                  <c:v>45.334379066457267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445-427D-906B-8C62D5654393}"/>
            </c:ext>
          </c:extLst>
        </c:ser>
        <c:ser>
          <c:idx val="2"/>
          <c:order val="5"/>
          <c:tx>
            <c:v>NTO-C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6350" cap="flat" cmpd="sng" algn="ctr">
                <a:solidFill>
                  <a:schemeClr val="accent1"/>
                </a:solidFill>
                <a:prstDash val="solid"/>
                <a:miter lim="800000"/>
              </a:ln>
              <a:effectLst/>
            </c:spPr>
            <c:trendlineType val="linear"/>
            <c:dispRSqr val="0"/>
            <c:dispEq val="0"/>
          </c:trendline>
          <c:xVal>
            <c:numRef>
              <c:f>'Kd-DNAN'!$G$27:$G$30</c:f>
              <c:numCache>
                <c:formatCode>0</c:formatCode>
                <c:ptCount val="4"/>
                <c:pt idx="0">
                  <c:v>4.9538780084012426E-2</c:v>
                </c:pt>
                <c:pt idx="1">
                  <c:v>0.89992398994753076</c:v>
                </c:pt>
                <c:pt idx="2">
                  <c:v>1.9294099372056031</c:v>
                </c:pt>
                <c:pt idx="3">
                  <c:v>4.658096965856477</c:v>
                </c:pt>
              </c:numCache>
            </c:numRef>
          </c:xVal>
          <c:yVal>
            <c:numRef>
              <c:f>'Kd-DNAN'!$K$27:$K$30</c:f>
              <c:numCache>
                <c:formatCode>0</c:formatCode>
                <c:ptCount val="4"/>
                <c:pt idx="0">
                  <c:v>0</c:v>
                </c:pt>
                <c:pt idx="1">
                  <c:v>13.401567555544448</c:v>
                </c:pt>
                <c:pt idx="2">
                  <c:v>25.392976188003306</c:v>
                </c:pt>
                <c:pt idx="3">
                  <c:v>47.051718847557439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445-427D-906B-8C62D56543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6020511"/>
        <c:axId val="726032159"/>
      </c:scatterChart>
      <c:valAx>
        <c:axId val="7260205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NTO water (mg/L)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6032159"/>
        <c:crosses val="autoZero"/>
        <c:crossBetween val="midCat"/>
      </c:valAx>
      <c:valAx>
        <c:axId val="72603215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NTO soil (mg/kg)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6020511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342900</xdr:colOff>
      <xdr:row>2</xdr:row>
      <xdr:rowOff>15240</xdr:rowOff>
    </xdr:from>
    <xdr:to>
      <xdr:col>15</xdr:col>
      <xdr:colOff>45720</xdr:colOff>
      <xdr:row>10</xdr:row>
      <xdr:rowOff>125730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259080</xdr:colOff>
      <xdr:row>20</xdr:row>
      <xdr:rowOff>53340</xdr:rowOff>
    </xdr:from>
    <xdr:to>
      <xdr:col>14</xdr:col>
      <xdr:colOff>571500</xdr:colOff>
      <xdr:row>28</xdr:row>
      <xdr:rowOff>163830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98002</xdr:colOff>
      <xdr:row>2</xdr:row>
      <xdr:rowOff>72602</xdr:rowOff>
    </xdr:from>
    <xdr:to>
      <xdr:col>21</xdr:col>
      <xdr:colOff>402802</xdr:colOff>
      <xdr:row>17</xdr:row>
      <xdr:rowOff>72602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326602</xdr:colOff>
      <xdr:row>1</xdr:row>
      <xdr:rowOff>177377</xdr:rowOff>
    </xdr:from>
    <xdr:to>
      <xdr:col>22</xdr:col>
      <xdr:colOff>21802</xdr:colOff>
      <xdr:row>16</xdr:row>
      <xdr:rowOff>177377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"/>
  <sheetViews>
    <sheetView zoomScale="90" zoomScaleNormal="90" workbookViewId="0">
      <selection activeCell="D32" sqref="D32"/>
    </sheetView>
  </sheetViews>
  <sheetFormatPr defaultRowHeight="14.4" x14ac:dyDescent="0.3"/>
  <cols>
    <col min="1" max="1" width="10" customWidth="1"/>
    <col min="2" max="2" width="11.5546875" customWidth="1"/>
    <col min="3" max="3" width="15.5546875" customWidth="1"/>
    <col min="4" max="4" width="10.88671875" customWidth="1"/>
  </cols>
  <sheetData>
    <row r="1" spans="1:9" x14ac:dyDescent="0.3">
      <c r="A1" s="14" t="s">
        <v>8</v>
      </c>
      <c r="B1" s="14"/>
    </row>
    <row r="2" spans="1:9" x14ac:dyDescent="0.3">
      <c r="F2" t="s">
        <v>7</v>
      </c>
    </row>
    <row r="4" spans="1:9" x14ac:dyDescent="0.3">
      <c r="A4" t="s">
        <v>1</v>
      </c>
      <c r="B4" s="2">
        <v>44136</v>
      </c>
    </row>
    <row r="5" spans="1:9" x14ac:dyDescent="0.3">
      <c r="A5" t="s">
        <v>2</v>
      </c>
      <c r="B5">
        <v>1398</v>
      </c>
    </row>
    <row r="6" spans="1:9" x14ac:dyDescent="0.3">
      <c r="A6" t="s">
        <v>3</v>
      </c>
      <c r="B6">
        <v>1</v>
      </c>
    </row>
    <row r="7" spans="1:9" x14ac:dyDescent="0.3">
      <c r="A7" t="s">
        <v>0</v>
      </c>
      <c r="B7">
        <f>B5/B6</f>
        <v>1398</v>
      </c>
    </row>
    <row r="9" spans="1:9" x14ac:dyDescent="0.3">
      <c r="A9" s="1" t="s">
        <v>4</v>
      </c>
      <c r="B9" s="1" t="s">
        <v>71</v>
      </c>
      <c r="C9" s="1" t="s">
        <v>6</v>
      </c>
      <c r="D9" s="1" t="s">
        <v>0</v>
      </c>
      <c r="E9" s="1" t="s">
        <v>26</v>
      </c>
      <c r="H9" s="1" t="s">
        <v>33</v>
      </c>
      <c r="I9">
        <f>SLOPE(E10:E13,D10:D13)</f>
        <v>7013.4210197025777</v>
      </c>
    </row>
    <row r="10" spans="1:9" x14ac:dyDescent="0.3">
      <c r="A10" t="s">
        <v>32</v>
      </c>
      <c r="B10" s="1">
        <v>250</v>
      </c>
      <c r="C10" s="1">
        <v>0</v>
      </c>
      <c r="D10" s="4">
        <f>C10*$B$7/B10</f>
        <v>0</v>
      </c>
      <c r="E10" s="1">
        <v>0</v>
      </c>
      <c r="H10" t="s">
        <v>34</v>
      </c>
      <c r="I10">
        <f>INTERCEPT(E10:E13,D10:D13)</f>
        <v>1806.6701978063065</v>
      </c>
    </row>
    <row r="11" spans="1:9" x14ac:dyDescent="0.3">
      <c r="A11" s="1">
        <v>1</v>
      </c>
      <c r="B11" s="1">
        <v>250</v>
      </c>
      <c r="C11" s="5">
        <v>1.8</v>
      </c>
      <c r="D11" s="4">
        <f>C11*$B$7/B11</f>
        <v>10.0656</v>
      </c>
      <c r="E11" s="1">
        <v>75402</v>
      </c>
    </row>
    <row r="12" spans="1:9" x14ac:dyDescent="0.3">
      <c r="A12" s="1">
        <v>2</v>
      </c>
      <c r="B12" s="1">
        <v>250</v>
      </c>
      <c r="C12" s="5">
        <v>3.5</v>
      </c>
      <c r="D12" s="4">
        <f t="shared" ref="D12" si="0">C12*$B$7/B12</f>
        <v>19.571999999999999</v>
      </c>
      <c r="E12" s="1">
        <v>138228</v>
      </c>
    </row>
    <row r="13" spans="1:9" x14ac:dyDescent="0.3">
      <c r="A13" s="1">
        <v>3</v>
      </c>
      <c r="B13" s="1">
        <v>250</v>
      </c>
      <c r="C13" s="5">
        <v>7</v>
      </c>
      <c r="D13" s="4">
        <f>C13*$B$7/B13</f>
        <v>39.143999999999998</v>
      </c>
      <c r="E13" s="1">
        <v>275991</v>
      </c>
    </row>
    <row r="14" spans="1:9" x14ac:dyDescent="0.3">
      <c r="D14" s="3"/>
    </row>
    <row r="16" spans="1:9" x14ac:dyDescent="0.3">
      <c r="A16" s="15" t="s">
        <v>9</v>
      </c>
      <c r="B16" s="15"/>
    </row>
    <row r="19" spans="1:9" x14ac:dyDescent="0.3">
      <c r="A19" t="s">
        <v>1</v>
      </c>
      <c r="B19" s="2">
        <v>44228</v>
      </c>
      <c r="D19" t="s">
        <v>10</v>
      </c>
    </row>
    <row r="20" spans="1:9" x14ac:dyDescent="0.3">
      <c r="A20" t="s">
        <v>2</v>
      </c>
      <c r="B20">
        <v>0.1003</v>
      </c>
    </row>
    <row r="21" spans="1:9" x14ac:dyDescent="0.3">
      <c r="A21" t="s">
        <v>3</v>
      </c>
      <c r="B21">
        <v>1</v>
      </c>
    </row>
    <row r="22" spans="1:9" x14ac:dyDescent="0.3">
      <c r="A22" t="s">
        <v>0</v>
      </c>
      <c r="B22">
        <f>B20/B21</f>
        <v>0.1003</v>
      </c>
    </row>
    <row r="25" spans="1:9" x14ac:dyDescent="0.3">
      <c r="A25" t="s">
        <v>4</v>
      </c>
      <c r="B25" t="s">
        <v>71</v>
      </c>
      <c r="C25" t="s">
        <v>6</v>
      </c>
      <c r="D25" t="s">
        <v>0</v>
      </c>
      <c r="E25" t="s">
        <v>26</v>
      </c>
      <c r="H25" t="s">
        <v>33</v>
      </c>
      <c r="I25">
        <f>SLOPE(E26:E29,D26:D29)</f>
        <v>15293.069363338556</v>
      </c>
    </row>
    <row r="26" spans="1:9" x14ac:dyDescent="0.3">
      <c r="A26" s="1" t="s">
        <v>59</v>
      </c>
      <c r="B26" s="1">
        <v>0.25</v>
      </c>
      <c r="C26" s="1">
        <v>0</v>
      </c>
      <c r="D26" s="4">
        <f>C26*$B$22/B26</f>
        <v>0</v>
      </c>
      <c r="E26" s="1">
        <v>0</v>
      </c>
      <c r="H26" t="s">
        <v>60</v>
      </c>
      <c r="I26">
        <f>INTERCEPT(E26:E29,D26:D29)</f>
        <v>-757.59999999997672</v>
      </c>
    </row>
    <row r="27" spans="1:9" x14ac:dyDescent="0.3">
      <c r="A27" s="1">
        <v>1</v>
      </c>
      <c r="B27" s="1">
        <v>0.25</v>
      </c>
      <c r="C27" s="5">
        <v>25</v>
      </c>
      <c r="D27" s="4">
        <f>C27*$B$22/B27</f>
        <v>10.029999999999999</v>
      </c>
      <c r="E27" s="1">
        <v>149906</v>
      </c>
    </row>
    <row r="28" spans="1:9" x14ac:dyDescent="0.3">
      <c r="A28" s="1">
        <v>2</v>
      </c>
      <c r="B28" s="1">
        <v>0.25</v>
      </c>
      <c r="C28" s="5">
        <v>50</v>
      </c>
      <c r="D28" s="4">
        <f>C28*$B$22/B28</f>
        <v>20.059999999999999</v>
      </c>
      <c r="E28" s="1">
        <v>308595</v>
      </c>
    </row>
    <row r="29" spans="1:9" x14ac:dyDescent="0.3">
      <c r="A29" s="1">
        <v>3</v>
      </c>
      <c r="B29" s="1">
        <v>0.25</v>
      </c>
      <c r="C29" s="5">
        <v>100</v>
      </c>
      <c r="D29" s="4">
        <f>C29*$B$22/B29</f>
        <v>40.119999999999997</v>
      </c>
      <c r="E29" s="1">
        <v>612195</v>
      </c>
    </row>
  </sheetData>
  <mergeCells count="2">
    <mergeCell ref="A1:B1"/>
    <mergeCell ref="A16:B1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33"/>
  <sheetViews>
    <sheetView tabSelected="1" zoomScale="80" zoomScaleNormal="80" workbookViewId="0">
      <selection activeCell="N22" sqref="N22"/>
    </sheetView>
  </sheetViews>
  <sheetFormatPr defaultRowHeight="14.4" x14ac:dyDescent="0.3"/>
  <cols>
    <col min="1" max="1" width="10.21875" customWidth="1"/>
    <col min="3" max="3" width="11.21875" customWidth="1"/>
  </cols>
  <sheetData>
    <row r="1" spans="1:13" x14ac:dyDescent="0.3">
      <c r="A1" t="s">
        <v>11</v>
      </c>
    </row>
    <row r="2" spans="1:13" x14ac:dyDescent="0.3">
      <c r="D2" s="16" t="s">
        <v>28</v>
      </c>
      <c r="E2" s="17"/>
      <c r="F2" s="18"/>
      <c r="G2" s="19" t="s">
        <v>29</v>
      </c>
      <c r="H2" s="19"/>
      <c r="I2" s="19"/>
      <c r="J2" s="19"/>
      <c r="K2" s="20" t="s">
        <v>37</v>
      </c>
      <c r="L2" s="20"/>
      <c r="M2" s="20"/>
    </row>
    <row r="3" spans="1:13" x14ac:dyDescent="0.3">
      <c r="A3" t="s">
        <v>12</v>
      </c>
      <c r="B3" t="s">
        <v>23</v>
      </c>
      <c r="C3" t="s">
        <v>5</v>
      </c>
      <c r="D3" s="1" t="s">
        <v>24</v>
      </c>
      <c r="E3" s="1" t="s">
        <v>26</v>
      </c>
      <c r="F3" s="1" t="s">
        <v>31</v>
      </c>
      <c r="G3" s="1" t="s">
        <v>30</v>
      </c>
      <c r="H3" s="1" t="s">
        <v>26</v>
      </c>
      <c r="I3" s="1" t="s">
        <v>35</v>
      </c>
      <c r="J3" s="1" t="s">
        <v>36</v>
      </c>
      <c r="K3" s="1" t="s">
        <v>38</v>
      </c>
      <c r="L3" s="1" t="s">
        <v>39</v>
      </c>
      <c r="M3" s="1" t="s">
        <v>40</v>
      </c>
    </row>
    <row r="4" spans="1:13" x14ac:dyDescent="0.3">
      <c r="A4" t="s">
        <v>16</v>
      </c>
      <c r="B4" s="1">
        <v>5.0199999999999996</v>
      </c>
      <c r="C4" s="1">
        <v>0</v>
      </c>
      <c r="D4" s="1">
        <v>0</v>
      </c>
      <c r="E4" s="1">
        <v>0</v>
      </c>
      <c r="F4" s="1">
        <v>0</v>
      </c>
      <c r="G4" s="1">
        <v>10</v>
      </c>
      <c r="H4">
        <v>0</v>
      </c>
      <c r="I4" s="1">
        <v>0</v>
      </c>
      <c r="J4" s="4">
        <f>I4*G4/B4</f>
        <v>0</v>
      </c>
      <c r="K4">
        <f>SLOPE(J4:J7,F4:F7)</f>
        <v>0.35257847332996411</v>
      </c>
      <c r="L4" s="13">
        <f>AVERAGE(K4,K8,K12)</f>
        <v>0.34142493114832034</v>
      </c>
      <c r="M4" s="7">
        <f>_xlfn.STDEV.P(K4,K8,K12)</f>
        <v>2.0108323097412142E-2</v>
      </c>
    </row>
    <row r="5" spans="1:13" x14ac:dyDescent="0.3">
      <c r="A5" t="s">
        <v>13</v>
      </c>
      <c r="B5" s="1">
        <v>5</v>
      </c>
      <c r="C5" s="1">
        <v>10</v>
      </c>
      <c r="D5" s="1">
        <v>20</v>
      </c>
      <c r="E5" s="1">
        <v>80485</v>
      </c>
      <c r="F5" s="4">
        <f>(E5-$B$33)/$B$32</f>
        <v>11.218252772957049</v>
      </c>
      <c r="G5" s="1">
        <v>10</v>
      </c>
      <c r="H5">
        <v>12441</v>
      </c>
      <c r="I5" s="4">
        <f>(H5-$B$33)/$B$32</f>
        <v>1.5162828200843801</v>
      </c>
      <c r="J5" s="4">
        <f>I5*G5/B5</f>
        <v>3.0325656401687602</v>
      </c>
    </row>
    <row r="6" spans="1:13" x14ac:dyDescent="0.3">
      <c r="A6" t="s">
        <v>17</v>
      </c>
      <c r="B6" s="1">
        <v>5.04</v>
      </c>
      <c r="C6" s="1">
        <v>20</v>
      </c>
      <c r="D6" s="1">
        <v>20</v>
      </c>
      <c r="E6" s="1">
        <v>154348</v>
      </c>
      <c r="F6" s="4">
        <f>(E6-$B$33)/$B$32</f>
        <v>21.749917675505895</v>
      </c>
      <c r="G6" s="1">
        <v>10</v>
      </c>
      <c r="H6">
        <v>33395</v>
      </c>
      <c r="I6" s="4">
        <f t="shared" ref="I6:I15" si="0">(H6-$B$33)/$B$32</f>
        <v>4.5039831080229771</v>
      </c>
      <c r="J6" s="4">
        <f>I6*G6/B6</f>
        <v>8.9364744206805113</v>
      </c>
    </row>
    <row r="7" spans="1:13" x14ac:dyDescent="0.3">
      <c r="A7" t="s">
        <v>20</v>
      </c>
      <c r="B7" s="1">
        <v>5.03</v>
      </c>
      <c r="C7" s="1">
        <v>40</v>
      </c>
      <c r="D7" s="1">
        <v>20</v>
      </c>
      <c r="E7" s="1">
        <v>339439</v>
      </c>
      <c r="F7" s="4">
        <f>(E7-$B$33)/$B$32</f>
        <v>48.14088999558048</v>
      </c>
      <c r="G7" s="1">
        <v>10</v>
      </c>
      <c r="H7">
        <v>60390</v>
      </c>
      <c r="I7" s="4">
        <f t="shared" si="0"/>
        <v>8.3530319422743098</v>
      </c>
      <c r="J7" s="4">
        <f>I7*G7/B7</f>
        <v>16.6064253325533</v>
      </c>
    </row>
    <row r="8" spans="1:13" x14ac:dyDescent="0.3">
      <c r="A8" t="s">
        <v>16</v>
      </c>
      <c r="B8" s="1">
        <v>5.0199999999999996</v>
      </c>
      <c r="C8" s="1">
        <v>0</v>
      </c>
      <c r="D8" s="1">
        <v>0</v>
      </c>
      <c r="E8" s="1">
        <v>0</v>
      </c>
      <c r="F8" s="4">
        <f>(E8-$B$33)/$B$32</f>
        <v>-0.25760184548038484</v>
      </c>
      <c r="G8" s="1">
        <v>10</v>
      </c>
      <c r="H8">
        <v>0</v>
      </c>
      <c r="I8" s="4">
        <f t="shared" si="0"/>
        <v>-0.25760184548038484</v>
      </c>
      <c r="J8" s="4">
        <f>I8*G8/B8</f>
        <v>-0.51315108661431241</v>
      </c>
      <c r="K8">
        <f>SLOPE(J8:J11,F8:F11)</f>
        <v>0.35850242807230304</v>
      </c>
    </row>
    <row r="9" spans="1:13" x14ac:dyDescent="0.3">
      <c r="A9" t="s">
        <v>14</v>
      </c>
      <c r="B9" s="1">
        <v>5.08</v>
      </c>
      <c r="C9" s="1">
        <v>10</v>
      </c>
      <c r="D9" s="1">
        <v>20</v>
      </c>
      <c r="E9" s="1">
        <v>81960</v>
      </c>
      <c r="F9" s="4">
        <f>(E9-$B$33)/$B$32</f>
        <v>11.428563831690914</v>
      </c>
      <c r="G9" s="1">
        <v>10</v>
      </c>
      <c r="H9">
        <v>14592</v>
      </c>
      <c r="I9" s="4">
        <f t="shared" si="0"/>
        <v>1.8229805064142419</v>
      </c>
      <c r="J9" s="4">
        <f>I9*G9/B9</f>
        <v>3.5885443039650431</v>
      </c>
    </row>
    <row r="10" spans="1:13" x14ac:dyDescent="0.3">
      <c r="A10" t="s">
        <v>18</v>
      </c>
      <c r="B10" s="1">
        <v>4.9800000000000004</v>
      </c>
      <c r="C10" s="1">
        <v>20</v>
      </c>
      <c r="D10" s="1">
        <v>20</v>
      </c>
      <c r="E10" s="1">
        <v>151958</v>
      </c>
      <c r="F10" s="4">
        <f>(E10-$B$33)/$B$32</f>
        <v>21.409142468472716</v>
      </c>
      <c r="G10" s="1">
        <v>10</v>
      </c>
      <c r="H10">
        <v>27803</v>
      </c>
      <c r="I10" s="4">
        <f t="shared" si="0"/>
        <v>3.7066546738265167</v>
      </c>
      <c r="J10" s="4">
        <f>I10*G10/B10</f>
        <v>7.4430816743504344</v>
      </c>
    </row>
    <row r="11" spans="1:13" x14ac:dyDescent="0.3">
      <c r="A11" t="s">
        <v>21</v>
      </c>
      <c r="B11" s="1">
        <v>5.0199999999999996</v>
      </c>
      <c r="C11" s="1">
        <v>40</v>
      </c>
      <c r="D11" s="1">
        <v>20</v>
      </c>
      <c r="E11" s="1">
        <v>354566</v>
      </c>
      <c r="F11" s="4">
        <f>(E11-$B$33)/$B$32</f>
        <v>50.29775466369383</v>
      </c>
      <c r="G11" s="1">
        <v>10</v>
      </c>
      <c r="H11">
        <v>63698</v>
      </c>
      <c r="I11" s="4">
        <f t="shared" si="0"/>
        <v>8.8246990489127022</v>
      </c>
      <c r="J11" s="4">
        <f>I11*G11/B11</f>
        <v>17.579081770742437</v>
      </c>
    </row>
    <row r="12" spans="1:13" x14ac:dyDescent="0.3">
      <c r="A12" t="s">
        <v>16</v>
      </c>
      <c r="B12" s="1">
        <v>5.0199999999999996</v>
      </c>
      <c r="C12" s="1">
        <v>0</v>
      </c>
      <c r="D12" s="1">
        <v>0</v>
      </c>
      <c r="E12" s="1">
        <v>0</v>
      </c>
      <c r="F12" s="4">
        <f>(E12-$B$33)/$B$32</f>
        <v>-0.25760184548038484</v>
      </c>
      <c r="G12" s="1">
        <v>10</v>
      </c>
      <c r="H12">
        <v>0</v>
      </c>
      <c r="I12" s="4">
        <f t="shared" si="0"/>
        <v>-0.25760184548038484</v>
      </c>
      <c r="J12" s="4">
        <f>I12*G12/B12</f>
        <v>-0.51315108661431241</v>
      </c>
      <c r="K12">
        <f>SLOPE(J12:J15,F12:F15)</f>
        <v>0.31319389204269388</v>
      </c>
    </row>
    <row r="13" spans="1:13" x14ac:dyDescent="0.3">
      <c r="A13" t="s">
        <v>15</v>
      </c>
      <c r="B13" s="1">
        <v>5.07</v>
      </c>
      <c r="C13" s="1">
        <v>10</v>
      </c>
      <c r="D13" s="1">
        <v>20</v>
      </c>
      <c r="E13" s="1">
        <v>81616</v>
      </c>
      <c r="F13" s="4">
        <f>(E13-$B$33)/$B$32</f>
        <v>11.379515015281118</v>
      </c>
      <c r="G13" s="1">
        <v>10</v>
      </c>
      <c r="H13">
        <v>14660</v>
      </c>
      <c r="I13" s="4">
        <f t="shared" si="0"/>
        <v>1.8326762026812946</v>
      </c>
      <c r="J13" s="4">
        <f>I13*G13/B13</f>
        <v>3.6147459618960447</v>
      </c>
    </row>
    <row r="14" spans="1:13" x14ac:dyDescent="0.3">
      <c r="A14" t="s">
        <v>19</v>
      </c>
      <c r="B14" s="1">
        <v>5</v>
      </c>
      <c r="C14" s="1">
        <v>20</v>
      </c>
      <c r="D14" s="1">
        <v>20</v>
      </c>
      <c r="E14" s="1">
        <v>155944</v>
      </c>
      <c r="F14" s="4">
        <f>(E14-$B$33)/$B$32</f>
        <v>21.977481370244369</v>
      </c>
      <c r="G14" s="1">
        <v>10</v>
      </c>
      <c r="H14">
        <v>24882</v>
      </c>
      <c r="I14" s="4">
        <f t="shared" si="0"/>
        <v>3.2901674856491452</v>
      </c>
      <c r="J14" s="4">
        <f>I14*G14/B14</f>
        <v>6.5803349712982904</v>
      </c>
    </row>
    <row r="15" spans="1:13" x14ac:dyDescent="0.3">
      <c r="A15" t="s">
        <v>22</v>
      </c>
      <c r="B15" s="1">
        <v>5</v>
      </c>
      <c r="C15" s="1">
        <v>40</v>
      </c>
      <c r="D15" s="1">
        <v>20</v>
      </c>
      <c r="E15" s="1">
        <v>347143</v>
      </c>
      <c r="F15" s="4">
        <f>(E15-$B$33)/$B$32</f>
        <v>49.239355349130108</v>
      </c>
      <c r="G15" s="1">
        <v>10</v>
      </c>
      <c r="H15">
        <v>54891</v>
      </c>
      <c r="I15" s="4">
        <f t="shared" si="0"/>
        <v>7.5689637985607305</v>
      </c>
      <c r="J15" s="4">
        <f>I15*G15/B15</f>
        <v>15.137927597121461</v>
      </c>
    </row>
    <row r="17" spans="1:13" x14ac:dyDescent="0.3">
      <c r="D17" s="16" t="s">
        <v>28</v>
      </c>
      <c r="E17" s="17"/>
      <c r="F17" s="18"/>
      <c r="G17" s="19" t="s">
        <v>29</v>
      </c>
      <c r="H17" s="19"/>
      <c r="I17" s="19"/>
      <c r="J17" s="19"/>
      <c r="K17" s="20" t="s">
        <v>37</v>
      </c>
      <c r="L17" s="20"/>
      <c r="M17" s="20"/>
    </row>
    <row r="18" spans="1:13" x14ac:dyDescent="0.3">
      <c r="A18" t="s">
        <v>25</v>
      </c>
      <c r="C18" t="s">
        <v>5</v>
      </c>
      <c r="D18" t="s">
        <v>24</v>
      </c>
      <c r="E18" s="1" t="s">
        <v>26</v>
      </c>
      <c r="F18" s="1" t="s">
        <v>31</v>
      </c>
      <c r="G18" s="1" t="s">
        <v>30</v>
      </c>
      <c r="H18" s="1" t="s">
        <v>26</v>
      </c>
      <c r="I18" s="1" t="s">
        <v>35</v>
      </c>
      <c r="J18" s="1" t="s">
        <v>36</v>
      </c>
      <c r="K18" s="1" t="s">
        <v>38</v>
      </c>
      <c r="L18" s="1" t="s">
        <v>39</v>
      </c>
      <c r="M18" s="1" t="s">
        <v>40</v>
      </c>
    </row>
    <row r="19" spans="1:13" x14ac:dyDescent="0.3">
      <c r="A19" t="s">
        <v>16</v>
      </c>
      <c r="B19">
        <v>4.97</v>
      </c>
      <c r="C19">
        <v>0</v>
      </c>
      <c r="D19">
        <v>0</v>
      </c>
      <c r="E19">
        <v>0</v>
      </c>
      <c r="F19" s="1">
        <v>0</v>
      </c>
      <c r="G19" s="1">
        <v>10</v>
      </c>
      <c r="H19">
        <v>0</v>
      </c>
      <c r="I19" s="4">
        <f>(H19-$B$33)/$B$32</f>
        <v>-0.25760184548038484</v>
      </c>
      <c r="J19" s="4">
        <v>0</v>
      </c>
      <c r="K19">
        <f>SLOPE(J19:J22,F19:F22)</f>
        <v>0.21453678223611797</v>
      </c>
      <c r="L19" s="6">
        <f>AVERAGE(K19,K23,K27)</f>
        <v>0.23517462676119183</v>
      </c>
      <c r="M19" s="7">
        <f>_xlfn.STDEV.P(K19,K23,K27)</f>
        <v>1.743191463467399E-2</v>
      </c>
    </row>
    <row r="20" spans="1:13" x14ac:dyDescent="0.3">
      <c r="A20" t="s">
        <v>61</v>
      </c>
      <c r="B20">
        <v>4.99</v>
      </c>
      <c r="C20">
        <v>10</v>
      </c>
      <c r="D20">
        <v>20</v>
      </c>
      <c r="E20">
        <v>51236</v>
      </c>
      <c r="F20" s="4">
        <f>(E20-$B$33)/$B$32</f>
        <v>7.0478201242066421</v>
      </c>
      <c r="G20" s="1">
        <v>10</v>
      </c>
      <c r="H20">
        <v>12619</v>
      </c>
      <c r="I20" s="4">
        <f>(H20-$B$33)/$B$32</f>
        <v>1.5416627309010771</v>
      </c>
      <c r="J20" s="4">
        <f>I20*G20/B20</f>
        <v>3.0895044707436412</v>
      </c>
    </row>
    <row r="21" spans="1:13" x14ac:dyDescent="0.3">
      <c r="A21" t="s">
        <v>62</v>
      </c>
      <c r="B21">
        <v>4.96</v>
      </c>
      <c r="C21">
        <v>20</v>
      </c>
      <c r="D21">
        <v>20</v>
      </c>
      <c r="E21">
        <v>110259</v>
      </c>
      <c r="F21" s="4">
        <f>(E21-$B$33)/$B$32</f>
        <v>15.463541900239848</v>
      </c>
      <c r="G21" s="1">
        <v>10</v>
      </c>
      <c r="H21">
        <v>22109</v>
      </c>
      <c r="I21" s="4">
        <f>(H21-$B$33)/$B$32</f>
        <v>2.8947826952294768</v>
      </c>
      <c r="J21" s="4">
        <f>I21*G21/B21</f>
        <v>5.8362554339303969</v>
      </c>
    </row>
    <row r="22" spans="1:13" x14ac:dyDescent="0.3">
      <c r="A22" t="s">
        <v>63</v>
      </c>
      <c r="B22">
        <v>5</v>
      </c>
      <c r="C22">
        <v>40</v>
      </c>
      <c r="D22">
        <v>20</v>
      </c>
      <c r="E22">
        <v>254869</v>
      </c>
      <c r="F22" s="4">
        <f>(E22-$B$33)/$B$32</f>
        <v>36.082580682276713</v>
      </c>
      <c r="G22" s="1">
        <v>10</v>
      </c>
      <c r="H22">
        <v>30578</v>
      </c>
      <c r="I22" s="4">
        <f>(H22-$B$33)/$B$32</f>
        <v>4.1023246317834507</v>
      </c>
      <c r="J22" s="4">
        <f>I22*G22/B22</f>
        <v>8.2046492635669015</v>
      </c>
    </row>
    <row r="23" spans="1:13" x14ac:dyDescent="0.3">
      <c r="A23" t="s">
        <v>16</v>
      </c>
      <c r="B23">
        <v>4.97</v>
      </c>
      <c r="C23">
        <v>0</v>
      </c>
      <c r="D23">
        <v>0</v>
      </c>
      <c r="E23">
        <v>0</v>
      </c>
      <c r="F23" s="4">
        <f>(E23-$B$33)/$B$32</f>
        <v>-0.25760184548038484</v>
      </c>
      <c r="G23" s="1">
        <v>10</v>
      </c>
      <c r="H23">
        <v>0</v>
      </c>
      <c r="I23" s="4">
        <f>(H23-$B$33)/$B$32</f>
        <v>-0.25760184548038484</v>
      </c>
      <c r="J23" s="4">
        <v>0</v>
      </c>
      <c r="K23">
        <f>SLOPE(J23:J26,F23:F26)</f>
        <v>0.23381592076431743</v>
      </c>
    </row>
    <row r="24" spans="1:13" x14ac:dyDescent="0.3">
      <c r="A24" t="s">
        <v>64</v>
      </c>
      <c r="B24">
        <v>5.03</v>
      </c>
      <c r="C24">
        <v>10</v>
      </c>
      <c r="D24">
        <v>20</v>
      </c>
      <c r="E24">
        <v>56398</v>
      </c>
      <c r="F24" s="4">
        <f>(E24-$B$33)/$B$32</f>
        <v>7.7838375378908564</v>
      </c>
      <c r="G24" s="1">
        <v>10</v>
      </c>
      <c r="H24">
        <v>11516</v>
      </c>
      <c r="I24" s="4">
        <f>(H24-$B$33)/$B$32</f>
        <v>1.3843928340987353</v>
      </c>
      <c r="J24" s="4">
        <f>I24*G24/B24</f>
        <v>2.7522720359815809</v>
      </c>
    </row>
    <row r="25" spans="1:13" x14ac:dyDescent="0.3">
      <c r="A25" t="s">
        <v>65</v>
      </c>
      <c r="B25">
        <v>5.01</v>
      </c>
      <c r="C25">
        <v>20</v>
      </c>
      <c r="D25">
        <v>20</v>
      </c>
      <c r="E25">
        <v>118695</v>
      </c>
      <c r="F25" s="4">
        <f>(E25-$B$33)/$B$32</f>
        <v>16.666378572428929</v>
      </c>
      <c r="G25" s="1">
        <v>10</v>
      </c>
      <c r="H25">
        <v>25682</v>
      </c>
      <c r="I25" s="4">
        <f>(H25-$B$33)/$B$32</f>
        <v>3.4042345005556487</v>
      </c>
      <c r="J25" s="4">
        <f>I25*G25/B25</f>
        <v>6.7948792426260454</v>
      </c>
    </row>
    <row r="26" spans="1:13" x14ac:dyDescent="0.3">
      <c r="A26" t="s">
        <v>66</v>
      </c>
      <c r="B26">
        <v>4.99</v>
      </c>
      <c r="C26">
        <v>40</v>
      </c>
      <c r="D26">
        <v>20</v>
      </c>
      <c r="E26">
        <v>260159</v>
      </c>
      <c r="F26" s="4">
        <f>(E26-$B$33)/$B$32</f>
        <v>36.83684881834597</v>
      </c>
      <c r="G26" s="1">
        <v>10</v>
      </c>
      <c r="H26">
        <v>32569</v>
      </c>
      <c r="I26" s="4">
        <f>(H26-$B$33)/$B$32</f>
        <v>4.3862089151320118</v>
      </c>
      <c r="J26" s="4">
        <f>I26*G26/B26</f>
        <v>8.7899978259158562</v>
      </c>
    </row>
    <row r="27" spans="1:13" x14ac:dyDescent="0.3">
      <c r="A27" t="s">
        <v>16</v>
      </c>
      <c r="B27">
        <v>4.97</v>
      </c>
      <c r="C27">
        <v>0</v>
      </c>
      <c r="D27">
        <v>0</v>
      </c>
      <c r="E27">
        <v>0</v>
      </c>
      <c r="F27" s="4">
        <f>(E27-$B$33)/$B$32</f>
        <v>-0.25760184548038484</v>
      </c>
      <c r="H27">
        <v>0</v>
      </c>
      <c r="I27" s="4">
        <f>(H27-$B$33)/$B$32</f>
        <v>-0.25760184548038484</v>
      </c>
      <c r="J27" s="4">
        <f>I27*G27/B27</f>
        <v>0</v>
      </c>
      <c r="K27">
        <f>SLOPE(J27:J30,F27:F30)</f>
        <v>0.25717117728314004</v>
      </c>
    </row>
    <row r="28" spans="1:13" x14ac:dyDescent="0.3">
      <c r="A28" t="s">
        <v>67</v>
      </c>
      <c r="B28">
        <v>4.97</v>
      </c>
      <c r="C28">
        <v>10</v>
      </c>
      <c r="D28">
        <v>20</v>
      </c>
      <c r="E28">
        <v>55369</v>
      </c>
      <c r="F28" s="4">
        <f>(E28-$B$33)/$B$32</f>
        <v>7.637118839967366</v>
      </c>
      <c r="G28" s="1">
        <v>10</v>
      </c>
      <c r="H28">
        <v>10155</v>
      </c>
      <c r="I28" s="4">
        <f>(H28-$B$33)/$B$32</f>
        <v>1.190336324989046</v>
      </c>
      <c r="J28" s="4">
        <f>I28*G28/B28</f>
        <v>2.3950429074226278</v>
      </c>
    </row>
    <row r="29" spans="1:13" x14ac:dyDescent="0.3">
      <c r="A29" t="s">
        <v>68</v>
      </c>
      <c r="B29">
        <v>4.99</v>
      </c>
      <c r="C29">
        <v>20</v>
      </c>
      <c r="D29">
        <v>20</v>
      </c>
      <c r="E29">
        <v>125323</v>
      </c>
      <c r="F29" s="4">
        <f>(E29-$B$33)/$B$32</f>
        <v>17.611423790929312</v>
      </c>
      <c r="G29" s="1">
        <v>10</v>
      </c>
      <c r="H29">
        <v>21428</v>
      </c>
      <c r="I29" s="4">
        <f>(H29-$B$33)/$B$32</f>
        <v>2.7976831487903158</v>
      </c>
      <c r="J29" s="4">
        <f>I29*G29/B29</f>
        <v>5.6065794564936189</v>
      </c>
    </row>
    <row r="30" spans="1:13" x14ac:dyDescent="0.3">
      <c r="A30" t="s">
        <v>69</v>
      </c>
      <c r="B30">
        <v>4.97</v>
      </c>
      <c r="C30">
        <v>40</v>
      </c>
      <c r="D30">
        <v>20</v>
      </c>
      <c r="E30">
        <v>261642</v>
      </c>
      <c r="F30" s="4">
        <f>(E30-$B$33)/$B$32</f>
        <v>37.048300547228898</v>
      </c>
      <c r="G30" s="1">
        <v>10</v>
      </c>
      <c r="H30">
        <v>35369</v>
      </c>
      <c r="I30" s="4">
        <f>(H30-$B$33)/$B$32</f>
        <v>4.7854434673047752</v>
      </c>
      <c r="J30" s="4">
        <f>I30*G30/B30</f>
        <v>9.6286588879371724</v>
      </c>
    </row>
    <row r="31" spans="1:13" x14ac:dyDescent="0.3">
      <c r="F31" s="4"/>
      <c r="G31" s="1"/>
      <c r="I31" s="4"/>
      <c r="J31" s="4"/>
    </row>
    <row r="32" spans="1:13" x14ac:dyDescent="0.3">
      <c r="A32" s="8" t="s">
        <v>33</v>
      </c>
      <c r="B32" s="9">
        <v>7013.4210197025777</v>
      </c>
    </row>
    <row r="33" spans="1:2" x14ac:dyDescent="0.3">
      <c r="A33" s="10" t="s">
        <v>34</v>
      </c>
      <c r="B33" s="11">
        <v>1806.6701978063065</v>
      </c>
    </row>
  </sheetData>
  <mergeCells count="6">
    <mergeCell ref="D2:F2"/>
    <mergeCell ref="G2:J2"/>
    <mergeCell ref="K2:M2"/>
    <mergeCell ref="D17:F17"/>
    <mergeCell ref="G17:J17"/>
    <mergeCell ref="K17:M17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33"/>
  <sheetViews>
    <sheetView zoomScale="80" zoomScaleNormal="80" workbookViewId="0">
      <selection activeCell="H35" sqref="H35"/>
    </sheetView>
  </sheetViews>
  <sheetFormatPr defaultRowHeight="14.4" x14ac:dyDescent="0.3"/>
  <cols>
    <col min="1" max="1" width="10.88671875" customWidth="1"/>
    <col min="3" max="3" width="11.21875" customWidth="1"/>
  </cols>
  <sheetData>
    <row r="1" spans="1:14" x14ac:dyDescent="0.3">
      <c r="A1" s="22" t="s">
        <v>70</v>
      </c>
    </row>
    <row r="2" spans="1:14" x14ac:dyDescent="0.3">
      <c r="D2" s="16" t="s">
        <v>28</v>
      </c>
      <c r="E2" s="17"/>
      <c r="F2" s="17"/>
      <c r="G2" s="18"/>
      <c r="H2" s="19" t="s">
        <v>29</v>
      </c>
      <c r="I2" s="19"/>
      <c r="J2" s="19"/>
      <c r="K2" s="19"/>
      <c r="L2" s="20" t="s">
        <v>37</v>
      </c>
      <c r="M2" s="20"/>
      <c r="N2" s="20"/>
    </row>
    <row r="3" spans="1:14" x14ac:dyDescent="0.3">
      <c r="A3" t="s">
        <v>72</v>
      </c>
      <c r="B3" t="s">
        <v>23</v>
      </c>
      <c r="C3" t="s">
        <v>5</v>
      </c>
      <c r="D3" s="1" t="s">
        <v>24</v>
      </c>
      <c r="E3" s="1" t="s">
        <v>26</v>
      </c>
      <c r="F3" s="1" t="s">
        <v>27</v>
      </c>
      <c r="G3" s="1" t="s">
        <v>31</v>
      </c>
      <c r="H3" s="1" t="s">
        <v>30</v>
      </c>
      <c r="I3" s="1" t="s">
        <v>26</v>
      </c>
      <c r="J3" s="1" t="s">
        <v>35</v>
      </c>
      <c r="K3" s="1" t="s">
        <v>36</v>
      </c>
      <c r="L3" s="1" t="s">
        <v>38</v>
      </c>
      <c r="M3" s="1" t="s">
        <v>39</v>
      </c>
      <c r="N3" s="1" t="s">
        <v>40</v>
      </c>
    </row>
    <row r="4" spans="1:14" x14ac:dyDescent="0.3">
      <c r="A4" t="s">
        <v>16</v>
      </c>
      <c r="B4" s="1">
        <v>5.01</v>
      </c>
      <c r="C4" s="1">
        <v>0</v>
      </c>
      <c r="D4" s="1">
        <v>0</v>
      </c>
      <c r="E4" s="1">
        <v>0</v>
      </c>
      <c r="F4">
        <f>E4-$E$4</f>
        <v>0</v>
      </c>
      <c r="G4" s="1">
        <v>0</v>
      </c>
      <c r="H4" s="1">
        <v>10</v>
      </c>
      <c r="I4">
        <v>0</v>
      </c>
      <c r="J4" s="1">
        <v>0</v>
      </c>
      <c r="K4" s="4">
        <f>J4*H4/B4</f>
        <v>0</v>
      </c>
      <c r="L4" s="21">
        <f>SLOPE(K4:K7,G4:G7)</f>
        <v>0.2608846174403176</v>
      </c>
      <c r="M4" s="6">
        <f>AVERAGE(L4,L8,L12)</f>
        <v>0.25887252729703281</v>
      </c>
      <c r="N4" s="7">
        <f>_xlfn.STDEV.P(L4,L8,L12)</f>
        <v>2.0838342413209796E-2</v>
      </c>
    </row>
    <row r="5" spans="1:14" x14ac:dyDescent="0.3">
      <c r="A5" t="s">
        <v>41</v>
      </c>
      <c r="B5" s="1">
        <v>5.05</v>
      </c>
      <c r="C5" s="1">
        <v>10</v>
      </c>
      <c r="D5" s="1">
        <v>20</v>
      </c>
      <c r="E5" s="1">
        <v>123695</v>
      </c>
      <c r="F5">
        <f t="shared" ref="F5:F15" si="0">E5-$E$4</f>
        <v>123695</v>
      </c>
      <c r="G5" s="4">
        <f>(F5-$B$33)/$B$32</f>
        <v>8.1378431656332548</v>
      </c>
      <c r="H5" s="1">
        <v>10</v>
      </c>
      <c r="I5">
        <v>14586</v>
      </c>
      <c r="J5" s="4">
        <f>(I5-$B$33)/$B$32</f>
        <v>1.0033041527152526</v>
      </c>
      <c r="K5" s="4">
        <f>J5*H5/B5</f>
        <v>1.9867408964658471</v>
      </c>
      <c r="L5" s="1"/>
    </row>
    <row r="6" spans="1:14" x14ac:dyDescent="0.3">
      <c r="A6" t="s">
        <v>42</v>
      </c>
      <c r="B6" s="1">
        <v>4.99</v>
      </c>
      <c r="C6" s="1">
        <v>20</v>
      </c>
      <c r="D6" s="1">
        <v>20</v>
      </c>
      <c r="E6" s="1">
        <v>253684</v>
      </c>
      <c r="F6">
        <f t="shared" si="0"/>
        <v>253684</v>
      </c>
      <c r="G6" s="4">
        <f t="shared" ref="G6:G7" si="1">(F6-$B$33)/$B$32</f>
        <v>16.637706529335592</v>
      </c>
      <c r="H6" s="1">
        <v>10</v>
      </c>
      <c r="I6">
        <v>33695</v>
      </c>
      <c r="J6" s="4">
        <f>(I6-$B$33)/$B$32</f>
        <v>2.2528244122525054</v>
      </c>
      <c r="K6" s="4">
        <f>J6*H6/B6</f>
        <v>4.5146781808667438</v>
      </c>
      <c r="L6" s="1"/>
    </row>
    <row r="7" spans="1:14" x14ac:dyDescent="0.3">
      <c r="A7" t="s">
        <v>43</v>
      </c>
      <c r="B7" s="1">
        <v>4.99</v>
      </c>
      <c r="C7" s="1">
        <v>40</v>
      </c>
      <c r="D7" s="1">
        <v>20</v>
      </c>
      <c r="E7" s="1">
        <v>510269</v>
      </c>
      <c r="F7">
        <f t="shared" si="0"/>
        <v>510269</v>
      </c>
      <c r="G7" s="4">
        <f t="shared" si="1"/>
        <v>33.415568049737807</v>
      </c>
      <c r="H7" s="1">
        <v>10</v>
      </c>
      <c r="I7">
        <v>65268</v>
      </c>
      <c r="J7" s="4">
        <f>(I7-$B$33)/$B$32</f>
        <v>4.3173543800357317</v>
      </c>
      <c r="K7" s="4">
        <f>J7*H7/B7</f>
        <v>8.6520127856427482</v>
      </c>
      <c r="L7" s="1"/>
    </row>
    <row r="8" spans="1:14" x14ac:dyDescent="0.3">
      <c r="A8" t="s">
        <v>16</v>
      </c>
      <c r="B8" s="1">
        <v>5.01</v>
      </c>
      <c r="C8" s="1">
        <v>0</v>
      </c>
      <c r="D8" s="1">
        <v>0</v>
      </c>
      <c r="E8" s="1">
        <v>0</v>
      </c>
      <c r="F8">
        <f t="shared" si="0"/>
        <v>0</v>
      </c>
      <c r="G8" s="1">
        <v>0</v>
      </c>
      <c r="H8" s="1">
        <v>10</v>
      </c>
      <c r="I8">
        <v>0</v>
      </c>
      <c r="J8" s="4">
        <f>(I8-$B$33)/$B$32</f>
        <v>4.9538780084012426E-2</v>
      </c>
      <c r="K8" s="4">
        <f>J8*H8/B8</f>
        <v>9.8879800566891066E-2</v>
      </c>
      <c r="L8" s="21">
        <f>SLOPE(K8:K11,G8:G11)</f>
        <v>0.28332857938443723</v>
      </c>
    </row>
    <row r="9" spans="1:14" x14ac:dyDescent="0.3">
      <c r="A9" t="s">
        <v>44</v>
      </c>
      <c r="B9" s="1">
        <v>4.9800000000000004</v>
      </c>
      <c r="C9" s="1">
        <v>10</v>
      </c>
      <c r="D9" s="1">
        <v>20</v>
      </c>
      <c r="E9" s="1">
        <v>120368</v>
      </c>
      <c r="F9">
        <f t="shared" si="0"/>
        <v>120368</v>
      </c>
      <c r="G9" s="4">
        <f>(F9-$B$33)/$B$32</f>
        <v>7.9202936390499463</v>
      </c>
      <c r="H9" s="1">
        <v>10</v>
      </c>
      <c r="I9">
        <v>12695</v>
      </c>
      <c r="J9" s="4">
        <f>(I9-$B$33)/$B$32</f>
        <v>0.87965336979699704</v>
      </c>
      <c r="K9" s="4">
        <f>J9*H9/B9</f>
        <v>1.7663722285080259</v>
      </c>
      <c r="L9" s="1"/>
    </row>
    <row r="10" spans="1:14" x14ac:dyDescent="0.3">
      <c r="A10" t="s">
        <v>45</v>
      </c>
      <c r="B10" s="1">
        <v>5.01</v>
      </c>
      <c r="C10" s="1">
        <v>20</v>
      </c>
      <c r="D10" s="1">
        <v>20</v>
      </c>
      <c r="E10" s="1">
        <v>246925</v>
      </c>
      <c r="F10">
        <f t="shared" si="0"/>
        <v>246925</v>
      </c>
      <c r="G10" s="4">
        <f>(F10-$B$33)/$B$32</f>
        <v>16.195741620956696</v>
      </c>
      <c r="H10" s="1">
        <v>10</v>
      </c>
      <c r="I10">
        <v>35326</v>
      </c>
      <c r="J10" s="4">
        <f>(I10-$B$33)/$B$32</f>
        <v>2.3594740298832164</v>
      </c>
      <c r="K10" s="4">
        <f>J10*H10/B10</f>
        <v>4.709529001762907</v>
      </c>
      <c r="L10" s="1"/>
    </row>
    <row r="11" spans="1:14" x14ac:dyDescent="0.3">
      <c r="A11" t="s">
        <v>46</v>
      </c>
      <c r="B11" s="1">
        <v>4.9800000000000004</v>
      </c>
      <c r="C11" s="1">
        <v>40</v>
      </c>
      <c r="D11" s="1">
        <v>20</v>
      </c>
      <c r="E11" s="1">
        <v>502698</v>
      </c>
      <c r="F11">
        <f t="shared" si="0"/>
        <v>502698</v>
      </c>
      <c r="G11" s="4">
        <f>(F11-$B$33)/$B$32</f>
        <v>32.920507194383966</v>
      </c>
      <c r="H11" s="1">
        <v>10</v>
      </c>
      <c r="I11">
        <v>69523</v>
      </c>
      <c r="J11" s="4">
        <f>(I11-$B$33)/$B$32</f>
        <v>4.595584988876122</v>
      </c>
      <c r="K11" s="4">
        <f>J11*H11/B11</f>
        <v>9.2280823069801645</v>
      </c>
      <c r="L11" s="1"/>
    </row>
    <row r="12" spans="1:14" x14ac:dyDescent="0.3">
      <c r="A12" t="s">
        <v>16</v>
      </c>
      <c r="B12" s="1">
        <v>5.01</v>
      </c>
      <c r="C12" s="1">
        <v>0</v>
      </c>
      <c r="D12" s="1">
        <v>0</v>
      </c>
      <c r="E12" s="1">
        <v>0</v>
      </c>
      <c r="F12">
        <f t="shared" si="0"/>
        <v>0</v>
      </c>
      <c r="G12" s="1">
        <v>0</v>
      </c>
      <c r="H12" s="1">
        <v>10</v>
      </c>
      <c r="I12">
        <v>0</v>
      </c>
      <c r="J12" s="4">
        <f>(I12-$B$33)/$B$32</f>
        <v>4.9538780084012426E-2</v>
      </c>
      <c r="K12" s="4">
        <f>J12*H12/B12</f>
        <v>9.8879800566891066E-2</v>
      </c>
      <c r="L12" s="12">
        <f>SLOPE(K12:K15,G12:G15)</f>
        <v>0.23240438506634362</v>
      </c>
    </row>
    <row r="13" spans="1:14" x14ac:dyDescent="0.3">
      <c r="A13" t="s">
        <v>47</v>
      </c>
      <c r="B13" s="1">
        <v>4.99</v>
      </c>
      <c r="C13" s="1">
        <v>10</v>
      </c>
      <c r="D13" s="1">
        <v>20</v>
      </c>
      <c r="E13" s="1">
        <v>101586</v>
      </c>
      <c r="F13">
        <f t="shared" si="0"/>
        <v>101586</v>
      </c>
      <c r="G13" s="4">
        <f>(F13-$B$33)/$B$32</f>
        <v>6.6921556143166434</v>
      </c>
      <c r="H13" s="1">
        <v>10</v>
      </c>
      <c r="I13">
        <v>15268</v>
      </c>
      <c r="J13" s="4">
        <f>(I13-$B$33)/$B$32</f>
        <v>1.0478995170464267</v>
      </c>
      <c r="K13" s="4">
        <f>J13*H13/B13</f>
        <v>2.0999990321571675</v>
      </c>
    </row>
    <row r="14" spans="1:14" x14ac:dyDescent="0.3">
      <c r="A14" t="s">
        <v>48</v>
      </c>
      <c r="B14" s="1">
        <v>5.03</v>
      </c>
      <c r="C14" s="1">
        <v>20</v>
      </c>
      <c r="D14" s="1">
        <v>20</v>
      </c>
      <c r="E14" s="1">
        <v>233413</v>
      </c>
      <c r="F14">
        <f t="shared" si="0"/>
        <v>233413</v>
      </c>
      <c r="G14" s="4">
        <f>(F14-$B$33)/$B$32</f>
        <v>15.312204138782466</v>
      </c>
      <c r="H14" s="1">
        <v>10</v>
      </c>
      <c r="I14">
        <v>32359</v>
      </c>
      <c r="J14" s="4">
        <f>(I14-$B$33)/$B$32</f>
        <v>2.165464578313431</v>
      </c>
      <c r="K14" s="4">
        <f>J14*H14/B14</f>
        <v>4.3050985652354488</v>
      </c>
    </row>
    <row r="15" spans="1:14" x14ac:dyDescent="0.3">
      <c r="A15" t="s">
        <v>49</v>
      </c>
      <c r="B15" s="1">
        <v>4.99</v>
      </c>
      <c r="C15" s="1">
        <v>40</v>
      </c>
      <c r="D15" s="1">
        <v>20</v>
      </c>
      <c r="E15" s="1">
        <v>528693</v>
      </c>
      <c r="F15">
        <f t="shared" si="0"/>
        <v>528693</v>
      </c>
      <c r="G15" s="4">
        <f>(F15-$B$33)/$B$32</f>
        <v>34.620296777652108</v>
      </c>
      <c r="H15" s="1">
        <v>10</v>
      </c>
      <c r="I15">
        <v>62359</v>
      </c>
      <c r="J15" s="4">
        <f>(I15-$B$33)/$B$32</f>
        <v>4.1271374961070144</v>
      </c>
      <c r="K15" s="4">
        <f>J15*H15/B15</f>
        <v>8.270816625464958</v>
      </c>
    </row>
    <row r="17" spans="1:14" x14ac:dyDescent="0.3">
      <c r="D17" s="16" t="s">
        <v>28</v>
      </c>
      <c r="E17" s="17"/>
      <c r="F17" s="17"/>
      <c r="G17" s="18"/>
      <c r="H17" s="19" t="s">
        <v>29</v>
      </c>
      <c r="I17" s="19"/>
      <c r="J17" s="19"/>
      <c r="K17" s="19"/>
      <c r="L17" s="20" t="s">
        <v>37</v>
      </c>
      <c r="M17" s="20"/>
      <c r="N17" s="20"/>
    </row>
    <row r="18" spans="1:14" x14ac:dyDescent="0.3">
      <c r="A18" t="s">
        <v>73</v>
      </c>
      <c r="C18" t="s">
        <v>5</v>
      </c>
      <c r="D18" t="s">
        <v>24</v>
      </c>
      <c r="E18" s="1" t="s">
        <v>26</v>
      </c>
      <c r="F18" s="1" t="s">
        <v>27</v>
      </c>
      <c r="G18" s="1" t="s">
        <v>31</v>
      </c>
      <c r="H18" s="1" t="s">
        <v>30</v>
      </c>
      <c r="I18" s="1" t="s">
        <v>26</v>
      </c>
      <c r="J18" s="1" t="s">
        <v>35</v>
      </c>
      <c r="K18" s="1" t="s">
        <v>36</v>
      </c>
      <c r="L18" s="1" t="s">
        <v>38</v>
      </c>
      <c r="M18" s="1" t="s">
        <v>39</v>
      </c>
      <c r="N18" s="1" t="s">
        <v>40</v>
      </c>
    </row>
    <row r="19" spans="1:14" x14ac:dyDescent="0.3">
      <c r="A19" t="s">
        <v>16</v>
      </c>
      <c r="B19">
        <v>5.03</v>
      </c>
      <c r="C19" s="1">
        <v>0</v>
      </c>
      <c r="D19">
        <v>0</v>
      </c>
      <c r="E19">
        <v>0</v>
      </c>
      <c r="F19">
        <f>E19-$E$19</f>
        <v>0</v>
      </c>
      <c r="G19" s="1">
        <v>0</v>
      </c>
      <c r="H19" s="1">
        <v>10</v>
      </c>
      <c r="I19">
        <v>0</v>
      </c>
      <c r="J19" s="4">
        <f>(I19-$B$33)/$B$32</f>
        <v>4.9538780084012426E-2</v>
      </c>
      <c r="K19" s="4">
        <f>J19*H19/B19</f>
        <v>9.8486640326068436E-2</v>
      </c>
      <c r="L19">
        <f>SLOPE(K19:K22,G19:G22)</f>
        <v>7.256292692573064</v>
      </c>
      <c r="M19" s="6">
        <f>AVERAGE(L19,L23,L27)</f>
        <v>9.1237556063494996</v>
      </c>
      <c r="N19" s="7">
        <f>_xlfn.STDEV.P(L19,L23,L27)</f>
        <v>1.3316531839310557</v>
      </c>
    </row>
    <row r="20" spans="1:14" x14ac:dyDescent="0.3">
      <c r="A20" t="s">
        <v>50</v>
      </c>
      <c r="B20">
        <v>5.05</v>
      </c>
      <c r="C20" s="1">
        <v>10</v>
      </c>
      <c r="D20">
        <v>20</v>
      </c>
      <c r="E20">
        <v>11922</v>
      </c>
      <c r="F20">
        <f t="shared" ref="F20:F30" si="2">E20-$E$19</f>
        <v>11922</v>
      </c>
      <c r="G20" s="4">
        <f>(F20-$B$33)/$B$32</f>
        <v>0.82910759761518238</v>
      </c>
      <c r="H20" s="1">
        <v>10</v>
      </c>
      <c r="I20">
        <v>108719</v>
      </c>
      <c r="J20" s="4">
        <f>(I20-$B$33)/$B$32</f>
        <v>7.1585760450706974</v>
      </c>
      <c r="K20" s="4">
        <f>J20*H20/B20</f>
        <v>14.175398109050885</v>
      </c>
    </row>
    <row r="21" spans="1:14" x14ac:dyDescent="0.3">
      <c r="A21" t="s">
        <v>51</v>
      </c>
      <c r="B21">
        <v>5.0199999999999996</v>
      </c>
      <c r="C21" s="1">
        <v>20</v>
      </c>
      <c r="D21">
        <v>20</v>
      </c>
      <c r="E21">
        <v>27839</v>
      </c>
      <c r="F21">
        <f t="shared" si="2"/>
        <v>27839</v>
      </c>
      <c r="G21" s="4">
        <f t="shared" ref="G21:G30" si="3">(F21-$B$33)/$B$32</f>
        <v>1.8699058586991977</v>
      </c>
      <c r="H21" s="1">
        <v>10</v>
      </c>
      <c r="I21">
        <v>168738</v>
      </c>
      <c r="J21" s="4">
        <f>(I21-$B$33)/$B$32</f>
        <v>11.083164273505799</v>
      </c>
      <c r="K21" s="4">
        <f>J21*H21/B21</f>
        <v>22.078016481087253</v>
      </c>
    </row>
    <row r="22" spans="1:14" x14ac:dyDescent="0.3">
      <c r="A22" t="s">
        <v>52</v>
      </c>
      <c r="B22">
        <v>4.99</v>
      </c>
      <c r="C22" s="1">
        <v>40</v>
      </c>
      <c r="D22">
        <v>20</v>
      </c>
      <c r="E22">
        <v>90882</v>
      </c>
      <c r="F22">
        <f t="shared" si="2"/>
        <v>90882</v>
      </c>
      <c r="G22" s="4">
        <f t="shared" si="3"/>
        <v>5.9922307172478932</v>
      </c>
      <c r="H22" s="1">
        <v>10</v>
      </c>
      <c r="I22">
        <v>358542</v>
      </c>
      <c r="J22" s="4">
        <f>(I22-$B$33)/$B$32</f>
        <v>23.494276489802242</v>
      </c>
      <c r="K22" s="4">
        <f>J22*H22/B22</f>
        <v>47.082718416437359</v>
      </c>
    </row>
    <row r="23" spans="1:14" x14ac:dyDescent="0.3">
      <c r="A23" t="s">
        <v>16</v>
      </c>
      <c r="B23">
        <v>5.03</v>
      </c>
      <c r="C23" s="1">
        <v>0</v>
      </c>
      <c r="D23">
        <v>0</v>
      </c>
      <c r="E23">
        <v>0</v>
      </c>
      <c r="F23">
        <f t="shared" si="2"/>
        <v>0</v>
      </c>
      <c r="G23" s="4">
        <f t="shared" si="3"/>
        <v>4.9538780084012426E-2</v>
      </c>
      <c r="H23" s="1">
        <v>10</v>
      </c>
      <c r="I23">
        <v>0</v>
      </c>
      <c r="J23" s="4">
        <f>(I23-$B$33)/$B$32</f>
        <v>4.9538780084012426E-2</v>
      </c>
      <c r="K23" s="4">
        <f>J23*H23/B23</f>
        <v>9.8486640326068436E-2</v>
      </c>
      <c r="L23">
        <f>SLOPE(K23:K26,G23:G26)</f>
        <v>10.268169294721082</v>
      </c>
    </row>
    <row r="24" spans="1:14" x14ac:dyDescent="0.3">
      <c r="A24" t="s">
        <v>53</v>
      </c>
      <c r="B24">
        <v>5.03</v>
      </c>
      <c r="C24" s="1">
        <v>10</v>
      </c>
      <c r="D24">
        <v>20</v>
      </c>
      <c r="E24">
        <v>12192</v>
      </c>
      <c r="F24">
        <f t="shared" si="2"/>
        <v>12192</v>
      </c>
      <c r="G24" s="4">
        <f t="shared" si="3"/>
        <v>0.84676265387532457</v>
      </c>
      <c r="H24" s="1">
        <v>10</v>
      </c>
      <c r="I24">
        <v>118545</v>
      </c>
      <c r="J24" s="4">
        <f>(I24-$B$33)/$B$32</f>
        <v>7.8010893147453562</v>
      </c>
      <c r="K24" s="4">
        <f>J24*H24/B24</f>
        <v>15.509123886173668</v>
      </c>
    </row>
    <row r="25" spans="1:14" x14ac:dyDescent="0.3">
      <c r="A25" t="s">
        <v>54</v>
      </c>
      <c r="B25">
        <v>5.01</v>
      </c>
      <c r="C25" s="1">
        <v>20</v>
      </c>
      <c r="D25">
        <v>20</v>
      </c>
      <c r="E25">
        <v>28838</v>
      </c>
      <c r="F25">
        <f t="shared" si="2"/>
        <v>28838</v>
      </c>
      <c r="G25" s="4">
        <f t="shared" si="3"/>
        <v>1.9352295668617241</v>
      </c>
      <c r="H25" s="1">
        <v>10</v>
      </c>
      <c r="I25">
        <v>223539</v>
      </c>
      <c r="J25" s="4">
        <f>(I25-$B$33)/$B$32</f>
        <v>14.666552192439338</v>
      </c>
      <c r="K25" s="4">
        <f>J25*H25/B25</f>
        <v>29.274555274330016</v>
      </c>
    </row>
    <row r="26" spans="1:14" x14ac:dyDescent="0.3">
      <c r="A26" t="s">
        <v>55</v>
      </c>
      <c r="B26">
        <v>4.99</v>
      </c>
      <c r="C26" s="1">
        <v>40</v>
      </c>
      <c r="D26">
        <v>20</v>
      </c>
      <c r="E26">
        <v>64327</v>
      </c>
      <c r="F26">
        <f t="shared" si="2"/>
        <v>64327</v>
      </c>
      <c r="G26" s="4">
        <f t="shared" si="3"/>
        <v>4.2558232395142728</v>
      </c>
      <c r="H26" s="1">
        <v>10</v>
      </c>
      <c r="I26">
        <v>345200</v>
      </c>
      <c r="J26" s="4">
        <f>(I26-$B$33)/$B$32</f>
        <v>22.621855154162176</v>
      </c>
      <c r="K26" s="4">
        <f>J26*H26/B26</f>
        <v>45.334379066457267</v>
      </c>
    </row>
    <row r="27" spans="1:14" x14ac:dyDescent="0.3">
      <c r="A27" t="s">
        <v>16</v>
      </c>
      <c r="B27">
        <v>5.03</v>
      </c>
      <c r="C27" s="1">
        <v>0</v>
      </c>
      <c r="D27">
        <v>0</v>
      </c>
      <c r="E27">
        <v>0</v>
      </c>
      <c r="F27">
        <f t="shared" si="2"/>
        <v>0</v>
      </c>
      <c r="G27" s="4">
        <f t="shared" si="3"/>
        <v>4.9538780084012426E-2</v>
      </c>
      <c r="I27">
        <v>0</v>
      </c>
      <c r="J27" s="4">
        <f>(I27-$B$33)/$B$32</f>
        <v>4.9538780084012426E-2</v>
      </c>
      <c r="K27" s="4">
        <f>J27*H27/B27</f>
        <v>0</v>
      </c>
      <c r="L27">
        <f>SLOPE(K27:K30,G27:G30)</f>
        <v>9.8468048317543531</v>
      </c>
    </row>
    <row r="28" spans="1:14" x14ac:dyDescent="0.3">
      <c r="A28" t="s">
        <v>56</v>
      </c>
      <c r="B28">
        <v>4.99</v>
      </c>
      <c r="C28" s="1">
        <v>10</v>
      </c>
      <c r="D28">
        <v>20</v>
      </c>
      <c r="E28">
        <v>13005</v>
      </c>
      <c r="F28">
        <f t="shared" si="2"/>
        <v>13005</v>
      </c>
      <c r="G28" s="4">
        <f t="shared" si="3"/>
        <v>0.89992398994753076</v>
      </c>
      <c r="H28" s="1">
        <v>10</v>
      </c>
      <c r="I28">
        <v>101513</v>
      </c>
      <c r="J28" s="4">
        <f>(I28-$B$33)/$B$32</f>
        <v>6.6873822102166791</v>
      </c>
      <c r="K28" s="4">
        <f>J28*H28/B28</f>
        <v>13.401567555544448</v>
      </c>
    </row>
    <row r="29" spans="1:14" x14ac:dyDescent="0.3">
      <c r="A29" t="s">
        <v>57</v>
      </c>
      <c r="B29">
        <v>4.9800000000000004</v>
      </c>
      <c r="C29" s="1">
        <v>20</v>
      </c>
      <c r="D29">
        <v>20</v>
      </c>
      <c r="E29">
        <v>28749</v>
      </c>
      <c r="F29">
        <f t="shared" si="2"/>
        <v>28749</v>
      </c>
      <c r="G29" s="4">
        <f t="shared" si="3"/>
        <v>1.9294099372056031</v>
      </c>
      <c r="H29" s="1">
        <v>10</v>
      </c>
      <c r="I29">
        <v>192634</v>
      </c>
      <c r="J29" s="4">
        <f>(I29-$B$33)/$B$32</f>
        <v>12.645702141625648</v>
      </c>
      <c r="K29" s="4">
        <f>J29*H29/B29</f>
        <v>25.392976188003306</v>
      </c>
    </row>
    <row r="30" spans="1:14" x14ac:dyDescent="0.3">
      <c r="A30" t="s">
        <v>58</v>
      </c>
      <c r="B30">
        <v>5</v>
      </c>
      <c r="C30" s="1">
        <v>40</v>
      </c>
      <c r="D30">
        <v>20</v>
      </c>
      <c r="E30">
        <v>70479</v>
      </c>
      <c r="F30">
        <f t="shared" si="2"/>
        <v>70479</v>
      </c>
      <c r="G30" s="4">
        <f t="shared" si="3"/>
        <v>4.658096965856477</v>
      </c>
      <c r="H30" s="1">
        <v>10</v>
      </c>
      <c r="I30">
        <v>359025</v>
      </c>
      <c r="J30" s="4">
        <f>(I30-$B$33)/$B$32</f>
        <v>23.525859423778719</v>
      </c>
      <c r="K30" s="4">
        <f>J30*H30/B30</f>
        <v>47.051718847557439</v>
      </c>
    </row>
    <row r="31" spans="1:14" x14ac:dyDescent="0.3">
      <c r="G31" s="4"/>
      <c r="H31" s="1"/>
      <c r="J31" s="4"/>
      <c r="K31" s="4"/>
    </row>
    <row r="32" spans="1:14" x14ac:dyDescent="0.3">
      <c r="A32" s="8" t="s">
        <v>33</v>
      </c>
      <c r="B32" s="9">
        <v>15293.069363338556</v>
      </c>
    </row>
    <row r="33" spans="1:2" x14ac:dyDescent="0.3">
      <c r="A33" s="10" t="s">
        <v>34</v>
      </c>
      <c r="B33" s="11">
        <v>-757.59999999997672</v>
      </c>
    </row>
  </sheetData>
  <mergeCells count="6">
    <mergeCell ref="D2:G2"/>
    <mergeCell ref="H2:K2"/>
    <mergeCell ref="L2:N2"/>
    <mergeCell ref="D17:G17"/>
    <mergeCell ref="H17:K17"/>
    <mergeCell ref="L17:N17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Standards</vt:lpstr>
      <vt:lpstr>Kd-NTO</vt:lpstr>
      <vt:lpstr>Kd-DNAN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Encina</dc:creator>
  <cp:lastModifiedBy>Encina</cp:lastModifiedBy>
  <dcterms:created xsi:type="dcterms:W3CDTF">2021-02-23T09:53:42Z</dcterms:created>
  <dcterms:modified xsi:type="dcterms:W3CDTF">2022-07-14T10:07:28Z</dcterms:modified>
</cp:coreProperties>
</file>