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drawings/drawing5.xml" ContentType="application/vnd.openxmlformats-officedocument.drawing+xml"/>
  <Override PartName="/xl/charts/chart29.xml" ContentType="application/vnd.openxmlformats-officedocument.drawingml.chart+xml"/>
  <Override PartName="/xl/drawings/drawing6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7.xml" ContentType="application/vnd.openxmlformats-officedocument.drawingml.chartshapes+xml"/>
  <Override PartName="/xl/charts/chart33.xml" ContentType="application/vnd.openxmlformats-officedocument.drawingml.chart+xml"/>
  <Override PartName="/xl/drawings/drawing8.xml" ContentType="application/vnd.openxmlformats-officedocument.drawingml.chartshapes+xml"/>
  <Override PartName="/xl/charts/chart34.xml" ContentType="application/vnd.openxmlformats-officedocument.drawingml.chart+xml"/>
  <Override PartName="/xl/drawings/drawing9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charts/chart42.xml" ContentType="application/vnd.openxmlformats-officedocument.drawingml.chart+xml"/>
  <Override PartName="/xl/drawings/drawing16.xml" ContentType="application/vnd.openxmlformats-officedocument.drawingml.chartshapes+xml"/>
  <Override PartName="/xl/charts/chart43.xml" ContentType="application/vnd.openxmlformats-officedocument.drawingml.chart+xml"/>
  <Override PartName="/xl/drawings/drawing17.xml" ContentType="application/vnd.openxmlformats-officedocument.drawingml.chartshapes+xml"/>
  <Override PartName="/xl/charts/chart44.xml" ContentType="application/vnd.openxmlformats-officedocument.drawingml.chart+xml"/>
  <Override PartName="/xl/drawings/drawing18.xml" ContentType="application/vnd.openxmlformats-officedocument.drawingml.chartshapes+xml"/>
  <Override PartName="/xl/charts/chart45.xml" ContentType="application/vnd.openxmlformats-officedocument.drawingml.chart+xml"/>
  <Override PartName="/xl/drawings/drawing19.xml" ContentType="application/vnd.openxmlformats-officedocument.drawingml.chartshapes+xml"/>
  <Override PartName="/xl/charts/chart46.xml" ContentType="application/vnd.openxmlformats-officedocument.drawingml.chart+xml"/>
  <Override PartName="/xl/drawings/drawing20.xml" ContentType="application/vnd.openxmlformats-officedocument.drawingml.chartshapes+xml"/>
  <Override PartName="/xl/charts/chart47.xml" ContentType="application/vnd.openxmlformats-officedocument.drawingml.chart+xml"/>
  <Override PartName="/xl/drawings/drawing21.xml" ContentType="application/vnd.openxmlformats-officedocument.drawingml.chartshapes+xml"/>
  <Override PartName="/xl/charts/chart48.xml" ContentType="application/vnd.openxmlformats-officedocument.drawingml.chart+xml"/>
  <Override PartName="/xl/drawings/drawing22.xml" ContentType="application/vnd.openxmlformats-officedocument.drawingml.chartshapes+xml"/>
  <Override PartName="/xl/charts/chart4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0.xml" ContentType="application/vnd.openxmlformats-officedocument.drawingml.chart+xml"/>
  <Override PartName="/xl/drawings/drawing23.xml" ContentType="application/vnd.openxmlformats-officedocument.drawingml.chartshapes+xml"/>
  <Override PartName="/xl/charts/chart51.xml" ContentType="application/vnd.openxmlformats-officedocument.drawingml.chart+xml"/>
  <Override PartName="/xl/drawings/drawing24.xml" ContentType="application/vnd.openxmlformats-officedocument.drawingml.chartshapes+xml"/>
  <Override PartName="/xl/charts/chart5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ranfield-my.sharepoint.com/personal/e_mcadam_cranfield_ac_uk/Documents/wu065848/ewan/Post-doctoral/Projects/PhD (completed or left)/PhD Biogas II/Chapter 2/Presubmission/"/>
    </mc:Choice>
  </mc:AlternateContent>
  <xr:revisionPtr revIDLastSave="131" documentId="11_7E39735FD6A25141D2AAAF5AD178C711240C5958" xr6:coauthVersionLast="47" xr6:coauthVersionMax="47" xr10:uidLastSave="{CAB316A1-3FC9-4028-A0A7-68988377D4C7}"/>
  <bookViews>
    <workbookView xWindow="28680" yWindow="-120" windowWidth="29040" windowHeight="15840" firstSheet="2" activeTab="7" xr2:uid="{00000000-000D-0000-FFFF-FFFF00000000}"/>
  </bookViews>
  <sheets>
    <sheet name="Recirc20diffcon (2)" sheetId="8" r:id="rId1"/>
    <sheet name="Sheet1" sheetId="1" r:id="rId2"/>
    <sheet name="Recirc5" sheetId="7" r:id="rId3"/>
    <sheet name="Recirc20diffcon" sheetId="5" r:id="rId4"/>
    <sheet name="recirculation" sheetId="2" r:id="rId5"/>
    <sheet name="20v5" sheetId="6" r:id="rId6"/>
    <sheet name="SP plot" sheetId="4" r:id="rId7"/>
    <sheet name="SP plot (2)" sheetId="9" r:id="rId8"/>
    <sheet name="gradient" sheetId="10" r:id="rId9"/>
    <sheet name="Single pass" sheetId="3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158" i="2" l="1"/>
  <c r="AN159" i="2"/>
  <c r="AN160" i="2"/>
  <c r="AN161" i="2"/>
  <c r="AN162" i="2"/>
  <c r="AN163" i="2"/>
  <c r="AN157" i="2"/>
  <c r="AN168" i="2"/>
  <c r="AM158" i="2"/>
  <c r="AM159" i="2"/>
  <c r="AM160" i="2"/>
  <c r="AM161" i="2"/>
  <c r="AM162" i="2"/>
  <c r="AM163" i="2"/>
  <c r="AM157" i="2"/>
  <c r="AM168" i="2"/>
  <c r="P68" i="3"/>
  <c r="P69" i="3"/>
  <c r="P67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69" i="3"/>
  <c r="R33" i="6"/>
  <c r="S33" i="6"/>
  <c r="R34" i="6"/>
  <c r="S34" i="6"/>
  <c r="R35" i="6"/>
  <c r="S35" i="6"/>
  <c r="R36" i="6"/>
  <c r="S36" i="6"/>
  <c r="R37" i="6"/>
  <c r="S37" i="6"/>
  <c r="R38" i="6"/>
  <c r="S38" i="6"/>
  <c r="R39" i="6"/>
  <c r="S39" i="6"/>
  <c r="R40" i="6"/>
  <c r="S40" i="6"/>
  <c r="R41" i="6"/>
  <c r="S41" i="6"/>
  <c r="R42" i="6"/>
  <c r="S42" i="6"/>
  <c r="R43" i="6"/>
  <c r="S43" i="6"/>
  <c r="S32" i="6"/>
  <c r="R32" i="6"/>
  <c r="Q33" i="6"/>
  <c r="Q34" i="6"/>
  <c r="Q35" i="6"/>
  <c r="Q36" i="6"/>
  <c r="Q37" i="6"/>
  <c r="Q38" i="6"/>
  <c r="Q39" i="6"/>
  <c r="Q40" i="6"/>
  <c r="Q41" i="6"/>
  <c r="Q42" i="6"/>
  <c r="Q43" i="6"/>
  <c r="Q32" i="6"/>
  <c r="P33" i="6"/>
  <c r="P34" i="6"/>
  <c r="P35" i="6"/>
  <c r="P32" i="6"/>
  <c r="O33" i="6"/>
  <c r="O34" i="6"/>
  <c r="O35" i="6"/>
  <c r="O36" i="6"/>
  <c r="O37" i="6"/>
  <c r="O38" i="6"/>
  <c r="O39" i="6"/>
  <c r="O40" i="6"/>
  <c r="O41" i="6"/>
  <c r="O42" i="6"/>
  <c r="O43" i="6"/>
  <c r="O32" i="6"/>
  <c r="V49" i="6"/>
  <c r="V50" i="6"/>
  <c r="V51" i="6"/>
  <c r="V52" i="6"/>
  <c r="V53" i="6"/>
  <c r="V54" i="6"/>
  <c r="V55" i="6"/>
  <c r="V56" i="6"/>
  <c r="V57" i="6"/>
  <c r="V58" i="6"/>
  <c r="V59" i="6"/>
  <c r="V48" i="6"/>
  <c r="U49" i="6"/>
  <c r="U50" i="6"/>
  <c r="U51" i="6"/>
  <c r="U52" i="6"/>
  <c r="U53" i="6"/>
  <c r="U54" i="6"/>
  <c r="U55" i="6"/>
  <c r="U56" i="6"/>
  <c r="U57" i="6"/>
  <c r="U58" i="6"/>
  <c r="U59" i="6"/>
  <c r="U48" i="6"/>
  <c r="T52" i="6"/>
  <c r="T53" i="6"/>
  <c r="T54" i="6"/>
  <c r="T55" i="6"/>
  <c r="T56" i="6"/>
  <c r="T57" i="6"/>
  <c r="T58" i="6"/>
  <c r="T59" i="6"/>
  <c r="T48" i="6"/>
  <c r="T49" i="6"/>
  <c r="T50" i="6"/>
  <c r="T51" i="6"/>
  <c r="S48" i="6"/>
  <c r="S49" i="6"/>
  <c r="S50" i="6"/>
  <c r="S51" i="6"/>
  <c r="R49" i="6"/>
  <c r="R50" i="6"/>
  <c r="R51" i="6"/>
  <c r="R52" i="6"/>
  <c r="R53" i="6"/>
  <c r="R54" i="6"/>
  <c r="R55" i="6"/>
  <c r="R56" i="6"/>
  <c r="R57" i="6"/>
  <c r="R58" i="6"/>
  <c r="R59" i="6"/>
  <c r="R48" i="6"/>
  <c r="Q49" i="6"/>
  <c r="Q50" i="6"/>
  <c r="Q51" i="6"/>
  <c r="Q52" i="6"/>
  <c r="Q53" i="6"/>
  <c r="Q54" i="6"/>
  <c r="Q55" i="6"/>
  <c r="Q56" i="6"/>
  <c r="Q57" i="6"/>
  <c r="Q58" i="6"/>
  <c r="Q59" i="6"/>
  <c r="Q48" i="6"/>
  <c r="P49" i="6"/>
  <c r="P50" i="6"/>
  <c r="P51" i="6"/>
  <c r="P48" i="6"/>
  <c r="O49" i="6"/>
  <c r="O50" i="6"/>
  <c r="O51" i="6"/>
  <c r="O52" i="6"/>
  <c r="O53" i="6"/>
  <c r="O54" i="6"/>
  <c r="O55" i="6"/>
  <c r="O56" i="6"/>
  <c r="O57" i="6"/>
  <c r="O58" i="6"/>
  <c r="O59" i="6"/>
  <c r="O48" i="6"/>
  <c r="H6" i="6" l="1"/>
  <c r="H7" i="6"/>
  <c r="H8" i="6"/>
  <c r="H9" i="6"/>
  <c r="H10" i="6"/>
  <c r="H11" i="6"/>
  <c r="H12" i="6"/>
  <c r="H5" i="6"/>
  <c r="G6" i="6"/>
  <c r="G7" i="6"/>
  <c r="G8" i="6"/>
  <c r="G9" i="6"/>
  <c r="G10" i="6"/>
  <c r="G11" i="6"/>
  <c r="G12" i="6"/>
  <c r="G5" i="6"/>
  <c r="B12" i="6"/>
  <c r="B11" i="6"/>
  <c r="B10" i="6"/>
  <c r="B9" i="6"/>
  <c r="B8" i="6"/>
  <c r="B7" i="6"/>
  <c r="B6" i="6"/>
  <c r="B5" i="6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K374" i="2"/>
  <c r="K375" i="2"/>
  <c r="K373" i="2"/>
  <c r="J373" i="2"/>
  <c r="I374" i="2"/>
  <c r="I375" i="2"/>
  <c r="I373" i="2"/>
  <c r="AL191" i="2"/>
  <c r="AL190" i="2"/>
  <c r="AL169" i="2"/>
  <c r="AL168" i="2"/>
  <c r="AK190" i="2"/>
  <c r="AK191" i="2"/>
  <c r="AK192" i="2"/>
  <c r="AK193" i="2"/>
  <c r="AK194" i="2"/>
  <c r="AK195" i="2"/>
  <c r="AK196" i="2"/>
  <c r="AK197" i="2"/>
  <c r="AK198" i="2"/>
  <c r="AK199" i="2"/>
  <c r="AK200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58" i="2"/>
  <c r="AK159" i="2"/>
  <c r="AK160" i="2"/>
  <c r="AK161" i="2"/>
  <c r="AK162" i="2"/>
  <c r="AK163" i="2"/>
  <c r="AK157" i="2"/>
  <c r="U200" i="2"/>
  <c r="AQ159" i="2"/>
  <c r="AQ160" i="2" s="1"/>
  <c r="AQ161" i="2" s="1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90" i="2"/>
  <c r="AJ191" i="2"/>
  <c r="AJ192" i="2"/>
  <c r="AJ193" i="2"/>
  <c r="AJ194" i="2"/>
  <c r="AJ195" i="2"/>
  <c r="AJ196" i="2"/>
  <c r="AJ197" i="2"/>
  <c r="AJ198" i="2"/>
  <c r="AJ199" i="2"/>
  <c r="AJ200" i="2"/>
  <c r="AJ158" i="2"/>
  <c r="AJ159" i="2"/>
  <c r="AJ160" i="2"/>
  <c r="AJ161" i="2"/>
  <c r="AJ162" i="2"/>
  <c r="AJ163" i="2"/>
  <c r="AJ157" i="2"/>
  <c r="AA157" i="2"/>
  <c r="W157" i="2"/>
  <c r="AG157" i="2"/>
  <c r="AB121" i="2"/>
  <c r="AB120" i="2"/>
  <c r="N168" i="3"/>
  <c r="L159" i="3"/>
  <c r="BB210" i="3" l="1"/>
  <c r="AO328" i="2"/>
  <c r="AO327" i="2"/>
  <c r="AO326" i="2"/>
  <c r="AO325" i="2"/>
  <c r="AO324" i="2"/>
  <c r="AO323" i="2"/>
  <c r="BA212" i="3" l="1"/>
  <c r="BB212" i="3"/>
  <c r="BC212" i="3"/>
  <c r="BD212" i="3"/>
  <c r="BA211" i="3"/>
  <c r="BB211" i="3"/>
  <c r="BC211" i="3"/>
  <c r="BD211" i="3"/>
  <c r="AY210" i="3"/>
  <c r="BW5" i="3"/>
  <c r="CB5" i="3" s="1"/>
  <c r="CG5" i="3" s="1"/>
  <c r="BX5" i="3"/>
  <c r="CC5" i="3" s="1"/>
  <c r="CH5" i="3" s="1"/>
  <c r="BY5" i="3"/>
  <c r="CD5" i="3" s="1"/>
  <c r="CI5" i="3" s="1"/>
  <c r="BZ5" i="3"/>
  <c r="CE5" i="3" s="1"/>
  <c r="CJ5" i="3" s="1"/>
  <c r="CA5" i="3"/>
  <c r="CF5" i="3" s="1"/>
  <c r="CK5" i="3" s="1"/>
  <c r="BW6" i="3"/>
  <c r="CB6" i="3" s="1"/>
  <c r="CG6" i="3" s="1"/>
  <c r="BX6" i="3"/>
  <c r="CC6" i="3" s="1"/>
  <c r="CH6" i="3" s="1"/>
  <c r="BY6" i="3"/>
  <c r="CD6" i="3" s="1"/>
  <c r="CI6" i="3" s="1"/>
  <c r="BZ6" i="3"/>
  <c r="CE6" i="3" s="1"/>
  <c r="CJ6" i="3" s="1"/>
  <c r="CA6" i="3"/>
  <c r="CF6" i="3" s="1"/>
  <c r="CK6" i="3" s="1"/>
  <c r="BW7" i="3"/>
  <c r="CB7" i="3" s="1"/>
  <c r="CG7" i="3" s="1"/>
  <c r="BX7" i="3"/>
  <c r="CC7" i="3" s="1"/>
  <c r="CH7" i="3" s="1"/>
  <c r="BY7" i="3"/>
  <c r="CD7" i="3" s="1"/>
  <c r="CI7" i="3" s="1"/>
  <c r="BZ7" i="3"/>
  <c r="CE7" i="3" s="1"/>
  <c r="CJ7" i="3" s="1"/>
  <c r="CA7" i="3"/>
  <c r="CF7" i="3" s="1"/>
  <c r="CK7" i="3" s="1"/>
  <c r="BW8" i="3"/>
  <c r="CB8" i="3" s="1"/>
  <c r="CG8" i="3" s="1"/>
  <c r="BX8" i="3"/>
  <c r="CC8" i="3" s="1"/>
  <c r="CH8" i="3" s="1"/>
  <c r="BY8" i="3"/>
  <c r="CD8" i="3" s="1"/>
  <c r="CI8" i="3" s="1"/>
  <c r="BZ8" i="3"/>
  <c r="CE8" i="3" s="1"/>
  <c r="CJ8" i="3" s="1"/>
  <c r="CA8" i="3"/>
  <c r="CF8" i="3"/>
  <c r="CK8" i="3"/>
  <c r="BW9" i="3"/>
  <c r="CB9" i="3" s="1"/>
  <c r="CG9" i="3" s="1"/>
  <c r="BX9" i="3"/>
  <c r="BY9" i="3"/>
  <c r="BZ9" i="3"/>
  <c r="CE9" i="3" s="1"/>
  <c r="CJ9" i="3" s="1"/>
  <c r="CA9" i="3"/>
  <c r="CF9" i="3" s="1"/>
  <c r="CK9" i="3" s="1"/>
  <c r="CC9" i="3"/>
  <c r="CD9" i="3"/>
  <c r="CI9" i="3" s="1"/>
  <c r="CH9" i="3"/>
  <c r="BW10" i="3"/>
  <c r="CB10" i="3" s="1"/>
  <c r="CG10" i="3" s="1"/>
  <c r="BX10" i="3"/>
  <c r="CC10" i="3" s="1"/>
  <c r="CH10" i="3" s="1"/>
  <c r="BY10" i="3"/>
  <c r="BZ10" i="3"/>
  <c r="CA10" i="3"/>
  <c r="CF10" i="3" s="1"/>
  <c r="CK10" i="3" s="1"/>
  <c r="CD10" i="3"/>
  <c r="CE10" i="3"/>
  <c r="CJ10" i="3" s="1"/>
  <c r="CI10" i="3"/>
  <c r="BW11" i="3"/>
  <c r="CB11" i="3" s="1"/>
  <c r="CG11" i="3" s="1"/>
  <c r="BX11" i="3"/>
  <c r="BY11" i="3"/>
  <c r="BZ11" i="3"/>
  <c r="CE11" i="3" s="1"/>
  <c r="CJ11" i="3" s="1"/>
  <c r="CA11" i="3"/>
  <c r="CF11" i="3" s="1"/>
  <c r="CK11" i="3" s="1"/>
  <c r="CC11" i="3"/>
  <c r="CD11" i="3"/>
  <c r="CI11" i="3" s="1"/>
  <c r="CH11" i="3"/>
  <c r="CC26" i="3"/>
  <c r="BT27" i="3"/>
  <c r="BT28" i="3" s="1"/>
  <c r="BG28" i="3"/>
  <c r="BV28" i="3"/>
  <c r="CO28" i="3"/>
  <c r="BY29" i="3"/>
  <c r="BG30" i="3"/>
  <c r="BV30" i="3"/>
  <c r="CO30" i="3"/>
  <c r="BY31" i="3"/>
  <c r="BG32" i="3"/>
  <c r="BV32" i="3"/>
  <c r="CO32" i="3"/>
  <c r="BY33" i="3"/>
  <c r="BG34" i="3"/>
  <c r="BV34" i="3"/>
  <c r="CO34" i="3"/>
  <c r="BY35" i="3"/>
  <c r="BG36" i="3"/>
  <c r="BW36" i="3"/>
  <c r="BV36" i="3" s="1"/>
  <c r="CO36" i="3"/>
  <c r="BY37" i="3"/>
  <c r="BW38" i="3"/>
  <c r="BV38" i="3" s="1"/>
  <c r="CO38" i="3"/>
  <c r="BY39" i="3"/>
  <c r="BG40" i="3"/>
  <c r="CO40" i="3"/>
  <c r="BY41" i="3"/>
  <c r="BR69" i="3"/>
  <c r="BU69" i="3"/>
  <c r="BV69" i="3" s="1"/>
  <c r="BX69" i="3" s="1"/>
  <c r="BR70" i="3"/>
  <c r="BU70" i="3"/>
  <c r="BV70" i="3" s="1"/>
  <c r="BX70" i="3" s="1"/>
  <c r="BS71" i="3"/>
  <c r="BU71" i="3"/>
  <c r="BV71" i="3" s="1"/>
  <c r="BX71" i="3" s="1"/>
  <c r="BU72" i="3"/>
  <c r="BV72" i="3"/>
  <c r="BX72" i="3" s="1"/>
  <c r="BU73" i="3"/>
  <c r="BV73" i="3" s="1"/>
  <c r="BX73" i="3" s="1"/>
  <c r="BU74" i="3"/>
  <c r="BV74" i="3" s="1"/>
  <c r="BX74" i="3" s="1"/>
  <c r="BU75" i="3"/>
  <c r="BV75" i="3" s="1"/>
  <c r="BX75" i="3" s="1"/>
  <c r="BW135" i="3"/>
  <c r="BY135" i="3"/>
  <c r="BZ135" i="3" s="1"/>
  <c r="CE135" i="3" s="1"/>
  <c r="BW136" i="3"/>
  <c r="BY136" i="3"/>
  <c r="BZ136" i="3"/>
  <c r="BX137" i="3"/>
  <c r="BW137" i="3" s="1"/>
  <c r="BN149" i="3"/>
  <c r="BN151" i="3" s="1"/>
  <c r="BH213" i="3" s="1"/>
  <c r="BN155" i="3"/>
  <c r="BE212" i="3" s="1"/>
  <c r="BU279" i="2"/>
  <c r="CD285" i="2"/>
  <c r="CD286" i="2"/>
  <c r="CD287" i="2"/>
  <c r="CD288" i="2"/>
  <c r="CD284" i="2"/>
  <c r="CC286" i="2"/>
  <c r="CC287" i="2"/>
  <c r="CC288" i="2"/>
  <c r="CC289" i="2"/>
  <c r="CC290" i="2"/>
  <c r="CC291" i="2"/>
  <c r="CC292" i="2"/>
  <c r="CC293" i="2"/>
  <c r="CC294" i="2"/>
  <c r="CC295" i="2"/>
  <c r="CC285" i="2"/>
  <c r="CC284" i="2"/>
  <c r="CC283" i="2"/>
  <c r="CC281" i="2"/>
  <c r="CC282" i="2" s="1"/>
  <c r="CB285" i="2"/>
  <c r="CB284" i="2"/>
  <c r="CB283" i="2"/>
  <c r="CB282" i="2"/>
  <c r="CB281" i="2"/>
  <c r="CB280" i="2"/>
  <c r="CB279" i="2"/>
  <c r="CB278" i="2"/>
  <c r="CB277" i="2"/>
  <c r="BW255" i="2"/>
  <c r="BV255" i="2"/>
  <c r="BU255" i="2"/>
  <c r="BT255" i="2"/>
  <c r="BS255" i="2"/>
  <c r="BR255" i="2"/>
  <c r="BO255" i="2"/>
  <c r="BP256" i="2"/>
  <c r="BO256" i="2" s="1"/>
  <c r="BN256" i="2"/>
  <c r="BM256" i="2"/>
  <c r="BL256" i="2"/>
  <c r="BN255" i="2"/>
  <c r="BM255" i="2"/>
  <c r="BL255" i="2"/>
  <c r="BK255" i="2"/>
  <c r="BI255" i="2"/>
  <c r="BJ255" i="2" s="1"/>
  <c r="BM254" i="2"/>
  <c r="BL254" i="2"/>
  <c r="BK254" i="2"/>
  <c r="BJ254" i="2"/>
  <c r="BI254" i="2"/>
  <c r="BH254" i="2"/>
  <c r="BF254" i="2"/>
  <c r="BG254" i="2" s="1"/>
  <c r="BE254" i="2"/>
  <c r="AR256" i="2"/>
  <c r="AS256" i="2"/>
  <c r="AT256" i="2"/>
  <c r="AR257" i="2"/>
  <c r="AS257" i="2"/>
  <c r="AT257" i="2"/>
  <c r="AR258" i="2"/>
  <c r="AS258" i="2"/>
  <c r="AT258" i="2"/>
  <c r="AR259" i="2"/>
  <c r="AS259" i="2"/>
  <c r="AT259" i="2"/>
  <c r="AR260" i="2"/>
  <c r="AS260" i="2"/>
  <c r="AT260" i="2"/>
  <c r="AR261" i="2"/>
  <c r="AS261" i="2"/>
  <c r="AT261" i="2"/>
  <c r="AR262" i="2"/>
  <c r="AS262" i="2"/>
  <c r="AR263" i="2"/>
  <c r="AS263" i="2"/>
  <c r="AR264" i="2"/>
  <c r="AS264" i="2"/>
  <c r="AR265" i="2"/>
  <c r="AS265" i="2"/>
  <c r="AS266" i="2"/>
  <c r="AS267" i="2"/>
  <c r="AS268" i="2"/>
  <c r="AS269" i="2"/>
  <c r="AS270" i="2"/>
  <c r="AS271" i="2"/>
  <c r="AS255" i="2"/>
  <c r="AT255" i="2"/>
  <c r="AR255" i="2"/>
  <c r="BW72" i="3" l="1"/>
  <c r="BY75" i="3"/>
  <c r="CO11" i="3" s="1"/>
  <c r="BY69" i="3"/>
  <c r="CO5" i="3" s="1"/>
  <c r="BY70" i="3"/>
  <c r="CT6" i="3" s="1"/>
  <c r="BY71" i="3"/>
  <c r="CM7" i="3" s="1"/>
  <c r="BY74" i="3"/>
  <c r="CL10" i="3" s="1"/>
  <c r="BL213" i="3"/>
  <c r="BA210" i="3"/>
  <c r="AZ211" i="3"/>
  <c r="AZ212" i="3"/>
  <c r="BK213" i="3"/>
  <c r="BN213" i="3"/>
  <c r="BW40" i="3"/>
  <c r="BV40" i="3" s="1"/>
  <c r="AZ210" i="3"/>
  <c r="AY212" i="3"/>
  <c r="BF213" i="3"/>
  <c r="BJ213" i="3"/>
  <c r="BO213" i="3"/>
  <c r="BG213" i="3"/>
  <c r="BM213" i="3"/>
  <c r="AY211" i="3"/>
  <c r="BF212" i="3"/>
  <c r="BQ213" i="3"/>
  <c r="BI213" i="3"/>
  <c r="BR213" i="3"/>
  <c r="BE211" i="3"/>
  <c r="BP213" i="3"/>
  <c r="CO135" i="3"/>
  <c r="CE136" i="3"/>
  <c r="CO136" i="3" s="1"/>
  <c r="CF135" i="3"/>
  <c r="CR10" i="3"/>
  <c r="BX138" i="3"/>
  <c r="BY137" i="3"/>
  <c r="BZ137" i="3" s="1"/>
  <c r="BW73" i="3"/>
  <c r="CH135" i="3"/>
  <c r="CR135" i="3" s="1"/>
  <c r="BT135" i="3"/>
  <c r="CG135" i="3"/>
  <c r="CQ135" i="3" s="1"/>
  <c r="BR71" i="3"/>
  <c r="BS72" i="3"/>
  <c r="CI135" i="3"/>
  <c r="CS135" i="3" s="1"/>
  <c r="CL11" i="3"/>
  <c r="CN11" i="3"/>
  <c r="CL6" i="3"/>
  <c r="CP6" i="3"/>
  <c r="CM6" i="3"/>
  <c r="CN6" i="3"/>
  <c r="CR6" i="3"/>
  <c r="CO6" i="3"/>
  <c r="BW71" i="3"/>
  <c r="BW74" i="3"/>
  <c r="BY72" i="3"/>
  <c r="BW70" i="3"/>
  <c r="BW69" i="3"/>
  <c r="CN5" i="3"/>
  <c r="BZ69" i="3"/>
  <c r="CB69" i="3" s="1"/>
  <c r="CM5" i="3"/>
  <c r="CR7" i="3"/>
  <c r="CP5" i="3"/>
  <c r="CL5" i="3"/>
  <c r="BW75" i="3"/>
  <c r="BY73" i="3"/>
  <c r="F317" i="2"/>
  <c r="F318" i="2"/>
  <c r="F319" i="2"/>
  <c r="F320" i="2"/>
  <c r="F321" i="2"/>
  <c r="F322" i="2"/>
  <c r="F323" i="2"/>
  <c r="F316" i="2"/>
  <c r="CP10" i="3" l="1"/>
  <c r="CQ5" i="3"/>
  <c r="CL7" i="3"/>
  <c r="BZ75" i="3"/>
  <c r="CN7" i="3"/>
  <c r="CP7" i="3"/>
  <c r="BZ70" i="3"/>
  <c r="CB70" i="3" s="1"/>
  <c r="CR11" i="3"/>
  <c r="CO10" i="3"/>
  <c r="CI136" i="3"/>
  <c r="CS136" i="3" s="1"/>
  <c r="CS5" i="3"/>
  <c r="CM11" i="3"/>
  <c r="CN10" i="3"/>
  <c r="BZ74" i="3"/>
  <c r="CB74" i="3" s="1"/>
  <c r="CU7" i="3"/>
  <c r="CO7" i="3"/>
  <c r="BZ71" i="3"/>
  <c r="CT11" i="3"/>
  <c r="CM10" i="3"/>
  <c r="CQ10" i="3" s="1"/>
  <c r="CS7" i="3"/>
  <c r="CP11" i="3"/>
  <c r="CT10" i="3"/>
  <c r="CE137" i="3"/>
  <c r="CO137" i="3" s="1"/>
  <c r="CI137" i="3"/>
  <c r="CS137" i="3" s="1"/>
  <c r="CB71" i="3"/>
  <c r="CS6" i="3"/>
  <c r="CA135" i="3"/>
  <c r="CB135" i="3" s="1"/>
  <c r="BS135" i="3"/>
  <c r="BR135" i="3" s="1"/>
  <c r="BY138" i="3"/>
  <c r="BZ138" i="3" s="1"/>
  <c r="BX139" i="3"/>
  <c r="BW138" i="3"/>
  <c r="CT5" i="3"/>
  <c r="CN8" i="3"/>
  <c r="CR8" i="3"/>
  <c r="BZ72" i="3"/>
  <c r="CB72" i="3" s="1"/>
  <c r="CO8" i="3"/>
  <c r="CS8" i="3"/>
  <c r="CL8" i="3"/>
  <c r="CP8" i="3"/>
  <c r="CT8" i="3"/>
  <c r="CM8" i="3"/>
  <c r="CU8" i="3"/>
  <c r="CU6" i="3"/>
  <c r="CQ11" i="3"/>
  <c r="BS73" i="3"/>
  <c r="BR72" i="3"/>
  <c r="CR5" i="3"/>
  <c r="CB75" i="3"/>
  <c r="CS11" i="3"/>
  <c r="CP135" i="3"/>
  <c r="CF136" i="3"/>
  <c r="CP136" i="3" s="1"/>
  <c r="CH136" i="3"/>
  <c r="CR136" i="3" s="1"/>
  <c r="CG136" i="3"/>
  <c r="CQ136" i="3" s="1"/>
  <c r="CO9" i="3"/>
  <c r="CS9" i="3"/>
  <c r="CL9" i="3"/>
  <c r="CP9" i="3"/>
  <c r="CT9" i="3"/>
  <c r="CM9" i="3"/>
  <c r="CU9" i="3"/>
  <c r="CN9" i="3"/>
  <c r="CR9" i="3"/>
  <c r="BZ73" i="3"/>
  <c r="CB73" i="3" s="1"/>
  <c r="CU5" i="3"/>
  <c r="CT7" i="3"/>
  <c r="CQ6" i="3"/>
  <c r="CU11" i="3"/>
  <c r="CS10" i="3"/>
  <c r="CU10" i="3"/>
  <c r="BT136" i="3"/>
  <c r="AM120" i="3"/>
  <c r="AV172" i="3" s="1"/>
  <c r="AM121" i="3"/>
  <c r="AW172" i="3" s="1"/>
  <c r="AM122" i="3"/>
  <c r="AX172" i="3" s="1"/>
  <c r="AM123" i="3"/>
  <c r="AY172" i="3" s="1"/>
  <c r="AM124" i="3"/>
  <c r="AZ172" i="3" s="1"/>
  <c r="AM125" i="3"/>
  <c r="BA172" i="3" s="1"/>
  <c r="AM126" i="3"/>
  <c r="BB172" i="3" s="1"/>
  <c r="AM127" i="3"/>
  <c r="BC172" i="3" s="1"/>
  <c r="AM128" i="3"/>
  <c r="BD172" i="3" s="1"/>
  <c r="AM129" i="3"/>
  <c r="BE172" i="3" s="1"/>
  <c r="AM130" i="3"/>
  <c r="BF172" i="3" s="1"/>
  <c r="AM131" i="3"/>
  <c r="BG172" i="3" s="1"/>
  <c r="AM132" i="3"/>
  <c r="BH172" i="3" s="1"/>
  <c r="AM119" i="3"/>
  <c r="AO172" i="3" s="1"/>
  <c r="AU120" i="3"/>
  <c r="AW120" i="3" s="1"/>
  <c r="AU121" i="3"/>
  <c r="AW121" i="3" s="1"/>
  <c r="AY121" i="3" s="1"/>
  <c r="AW167" i="3" s="1"/>
  <c r="AU122" i="3"/>
  <c r="AW122" i="3" s="1"/>
  <c r="AY122" i="3" s="1"/>
  <c r="AX167" i="3" s="1"/>
  <c r="AU123" i="3"/>
  <c r="AW123" i="3" s="1"/>
  <c r="AY123" i="3" s="1"/>
  <c r="AY167" i="3" s="1"/>
  <c r="AU124" i="3"/>
  <c r="AW124" i="3" s="1"/>
  <c r="AY124" i="3" s="1"/>
  <c r="AZ167" i="3" s="1"/>
  <c r="AU125" i="3"/>
  <c r="AW125" i="3" s="1"/>
  <c r="AY125" i="3" s="1"/>
  <c r="BA167" i="3" s="1"/>
  <c r="AU126" i="3"/>
  <c r="AW126" i="3" s="1"/>
  <c r="AY126" i="3" s="1"/>
  <c r="BB167" i="3" s="1"/>
  <c r="AU127" i="3"/>
  <c r="AW127" i="3" s="1"/>
  <c r="AY127" i="3" s="1"/>
  <c r="BC167" i="3" s="1"/>
  <c r="AU128" i="3"/>
  <c r="AW128" i="3" s="1"/>
  <c r="AY128" i="3" s="1"/>
  <c r="BD167" i="3" s="1"/>
  <c r="AU129" i="3"/>
  <c r="AW129" i="3" s="1"/>
  <c r="AY129" i="3" s="1"/>
  <c r="BE167" i="3" s="1"/>
  <c r="AU130" i="3"/>
  <c r="AW130" i="3" s="1"/>
  <c r="AY130" i="3" s="1"/>
  <c r="BF167" i="3" s="1"/>
  <c r="AU131" i="3"/>
  <c r="AW131" i="3" s="1"/>
  <c r="AY131" i="3" s="1"/>
  <c r="BG167" i="3" s="1"/>
  <c r="AU132" i="3"/>
  <c r="AW132" i="3" s="1"/>
  <c r="AY132" i="3" s="1"/>
  <c r="BH167" i="3" s="1"/>
  <c r="AU119" i="3"/>
  <c r="AW119" i="3" s="1"/>
  <c r="CT136" i="3" l="1"/>
  <c r="CU136" i="3" s="1"/>
  <c r="CH137" i="3"/>
  <c r="CR137" i="3" s="1"/>
  <c r="CQ7" i="3"/>
  <c r="CT135" i="3"/>
  <c r="CU135" i="3" s="1"/>
  <c r="CA136" i="3"/>
  <c r="CB136" i="3" s="1"/>
  <c r="BS136" i="3"/>
  <c r="BR136" i="3" s="1"/>
  <c r="BS74" i="3"/>
  <c r="BR73" i="3"/>
  <c r="BX140" i="3"/>
  <c r="BW139" i="3"/>
  <c r="BY139" i="3"/>
  <c r="BZ139" i="3" s="1"/>
  <c r="CH138" i="3"/>
  <c r="CR138" i="3" s="1"/>
  <c r="CE138" i="3"/>
  <c r="CO138" i="3" s="1"/>
  <c r="CI138" i="3"/>
  <c r="CS138" i="3" s="1"/>
  <c r="CF138" i="3"/>
  <c r="CP138" i="3" s="1"/>
  <c r="BT137" i="3"/>
  <c r="BT138" i="3" s="1"/>
  <c r="CF137" i="3"/>
  <c r="CP137" i="3" s="1"/>
  <c r="CQ9" i="3"/>
  <c r="CQ8" i="3"/>
  <c r="CG137" i="3"/>
  <c r="CQ137" i="3" s="1"/>
  <c r="AL27" i="3"/>
  <c r="AL28" i="3"/>
  <c r="AN28" i="3"/>
  <c r="AN30" i="3"/>
  <c r="AN32" i="3"/>
  <c r="AN34" i="3"/>
  <c r="AM69" i="3"/>
  <c r="AN69" i="3" s="1"/>
  <c r="AM70" i="3"/>
  <c r="AN70" i="3" s="1"/>
  <c r="AK71" i="3"/>
  <c r="AK72" i="3" s="1"/>
  <c r="AK73" i="3" s="1"/>
  <c r="AK74" i="3" s="1"/>
  <c r="AM71" i="3"/>
  <c r="AN71" i="3" s="1"/>
  <c r="AM72" i="3"/>
  <c r="AN72" i="3" s="1"/>
  <c r="AM73" i="3"/>
  <c r="AN73" i="3" s="1"/>
  <c r="AM74" i="3"/>
  <c r="AN74" i="3" s="1"/>
  <c r="W170" i="3"/>
  <c r="W169" i="3"/>
  <c r="W166" i="3"/>
  <c r="W168" i="3"/>
  <c r="W167" i="3"/>
  <c r="W165" i="3"/>
  <c r="W164" i="3"/>
  <c r="W163" i="3"/>
  <c r="W162" i="3"/>
  <c r="W161" i="3"/>
  <c r="W160" i="3"/>
  <c r="W159" i="3"/>
  <c r="X165" i="3"/>
  <c r="X164" i="3"/>
  <c r="X163" i="3"/>
  <c r="X162" i="3"/>
  <c r="X161" i="3"/>
  <c r="X160" i="3"/>
  <c r="X159" i="3"/>
  <c r="Y168" i="3"/>
  <c r="Y167" i="3"/>
  <c r="Y166" i="3"/>
  <c r="Y165" i="3"/>
  <c r="Y164" i="3"/>
  <c r="Y163" i="3"/>
  <c r="Y162" i="3"/>
  <c r="Y161" i="3"/>
  <c r="Y160" i="3"/>
  <c r="Y159" i="3"/>
  <c r="Q158" i="3"/>
  <c r="S158" i="3" s="1"/>
  <c r="L161" i="3" s="1"/>
  <c r="Q157" i="3"/>
  <c r="S157" i="3" s="1"/>
  <c r="Q156" i="3"/>
  <c r="S156" i="3" s="1"/>
  <c r="CT137" i="3" l="1"/>
  <c r="CU137" i="3" s="1"/>
  <c r="BS138" i="3"/>
  <c r="BR138" i="3" s="1"/>
  <c r="CA138" i="3"/>
  <c r="CB138" i="3" s="1"/>
  <c r="CG138" i="3"/>
  <c r="CQ138" i="3" s="1"/>
  <c r="CT138" i="3" s="1"/>
  <c r="CU138" i="3" s="1"/>
  <c r="BX141" i="3"/>
  <c r="BW140" i="3"/>
  <c r="BY140" i="3"/>
  <c r="BZ140" i="3" s="1"/>
  <c r="CA137" i="3"/>
  <c r="CB137" i="3" s="1"/>
  <c r="BS137" i="3"/>
  <c r="BR137" i="3" s="1"/>
  <c r="CI139" i="3"/>
  <c r="CS139" i="3" s="1"/>
  <c r="BT139" i="3"/>
  <c r="CH139" i="3"/>
  <c r="CR139" i="3" s="1"/>
  <c r="CE139" i="3"/>
  <c r="CO139" i="3" s="1"/>
  <c r="CF139" i="3"/>
  <c r="CP139" i="3" s="1"/>
  <c r="BR74" i="3"/>
  <c r="BS75" i="3"/>
  <c r="BR75" i="3" s="1"/>
  <c r="M161" i="3"/>
  <c r="M163" i="3"/>
  <c r="M159" i="3"/>
  <c r="M164" i="3"/>
  <c r="M160" i="3"/>
  <c r="M162" i="3"/>
  <c r="N160" i="3"/>
  <c r="N167" i="3"/>
  <c r="N163" i="3"/>
  <c r="L160" i="3"/>
  <c r="L168" i="3"/>
  <c r="L164" i="3"/>
  <c r="L167" i="3"/>
  <c r="L163" i="3"/>
  <c r="L170" i="3"/>
  <c r="L166" i="3"/>
  <c r="L162" i="3"/>
  <c r="M165" i="3"/>
  <c r="L169" i="3"/>
  <c r="L165" i="3"/>
  <c r="N166" i="3"/>
  <c r="N162" i="3"/>
  <c r="N159" i="3"/>
  <c r="N165" i="3"/>
  <c r="N161" i="3"/>
  <c r="N164" i="3"/>
  <c r="X275" i="2"/>
  <c r="X274" i="2"/>
  <c r="X273" i="2"/>
  <c r="BS139" i="3" l="1"/>
  <c r="BR139" i="3" s="1"/>
  <c r="CA139" i="3"/>
  <c r="CB139" i="3" s="1"/>
  <c r="CI140" i="3"/>
  <c r="CS140" i="3" s="1"/>
  <c r="BT140" i="3"/>
  <c r="CF140" i="3"/>
  <c r="CP140" i="3" s="1"/>
  <c r="CH140" i="3"/>
  <c r="CR140" i="3" s="1"/>
  <c r="CE140" i="3"/>
  <c r="CO140" i="3" s="1"/>
  <c r="CG139" i="3"/>
  <c r="CQ139" i="3" s="1"/>
  <c r="CT139" i="3" s="1"/>
  <c r="CU139" i="3" s="1"/>
  <c r="BY141" i="3"/>
  <c r="BZ141" i="3" s="1"/>
  <c r="BW141" i="3"/>
  <c r="B383" i="3"/>
  <c r="A383" i="3" s="1"/>
  <c r="A382" i="3"/>
  <c r="A381" i="3"/>
  <c r="K337" i="3"/>
  <c r="K338" i="3" s="1"/>
  <c r="J336" i="3"/>
  <c r="J335" i="3"/>
  <c r="C335" i="3"/>
  <c r="C336" i="3"/>
  <c r="D337" i="3"/>
  <c r="C337" i="3" s="1"/>
  <c r="D338" i="3"/>
  <c r="C338" i="3" s="1"/>
  <c r="A103" i="2"/>
  <c r="BS140" i="3" l="1"/>
  <c r="BR140" i="3" s="1"/>
  <c r="CA140" i="3"/>
  <c r="CB140" i="3" s="1"/>
  <c r="CE141" i="3"/>
  <c r="CO141" i="3" s="1"/>
  <c r="CI141" i="3"/>
  <c r="CS141" i="3" s="1"/>
  <c r="BT141" i="3"/>
  <c r="CF141" i="3"/>
  <c r="CP141" i="3" s="1"/>
  <c r="CH141" i="3"/>
  <c r="CR141" i="3" s="1"/>
  <c r="CG140" i="3"/>
  <c r="CQ140" i="3" s="1"/>
  <c r="CT140" i="3" s="1"/>
  <c r="CU140" i="3" s="1"/>
  <c r="B384" i="3"/>
  <c r="B385" i="3" s="1"/>
  <c r="B386" i="3" s="1"/>
  <c r="D339" i="3"/>
  <c r="K339" i="3"/>
  <c r="J338" i="3"/>
  <c r="J337" i="3"/>
  <c r="FX45" i="3"/>
  <c r="FX39" i="3"/>
  <c r="FS27" i="3"/>
  <c r="FS28" i="3" s="1"/>
  <c r="FX72" i="3" s="1"/>
  <c r="FW137" i="3"/>
  <c r="FW138" i="3" s="1"/>
  <c r="FX136" i="3"/>
  <c r="FV136" i="3"/>
  <c r="FX135" i="3"/>
  <c r="FY135" i="3" s="1"/>
  <c r="FV135" i="3"/>
  <c r="FT80" i="3"/>
  <c r="FU80" i="3" s="1"/>
  <c r="FT79" i="3"/>
  <c r="FU79" i="3" s="1"/>
  <c r="FT78" i="3"/>
  <c r="FU78" i="3" s="1"/>
  <c r="FV78" i="3" s="1"/>
  <c r="FT77" i="3"/>
  <c r="FU77" i="3" s="1"/>
  <c r="FW77" i="3" s="1"/>
  <c r="FT76" i="3"/>
  <c r="FU76" i="3" s="1"/>
  <c r="FT75" i="3"/>
  <c r="FU75" i="3" s="1"/>
  <c r="FT74" i="3"/>
  <c r="FU74" i="3" s="1"/>
  <c r="FV74" i="3" s="1"/>
  <c r="FT73" i="3"/>
  <c r="FU73" i="3" s="1"/>
  <c r="FW73" i="3" s="1"/>
  <c r="FT72" i="3"/>
  <c r="FU72" i="3" s="1"/>
  <c r="FT71" i="3"/>
  <c r="FU71" i="3" s="1"/>
  <c r="FR71" i="3"/>
  <c r="FR72" i="3" s="1"/>
  <c r="FT70" i="3"/>
  <c r="FU70" i="3" s="1"/>
  <c r="FQ70" i="3"/>
  <c r="FT69" i="3"/>
  <c r="FU69" i="3" s="1"/>
  <c r="FQ69" i="3"/>
  <c r="FX51" i="3"/>
  <c r="GN50" i="3"/>
  <c r="FX49" i="3"/>
  <c r="GN48" i="3"/>
  <c r="FX47" i="3"/>
  <c r="GN46" i="3"/>
  <c r="GN44" i="3"/>
  <c r="FX43" i="3"/>
  <c r="GN42" i="3"/>
  <c r="FX41" i="3"/>
  <c r="GN40" i="3"/>
  <c r="GN38" i="3"/>
  <c r="FX37" i="3"/>
  <c r="GN36" i="3"/>
  <c r="FV36" i="3"/>
  <c r="FV38" i="3" s="1"/>
  <c r="FX35" i="3"/>
  <c r="GN34" i="3"/>
  <c r="FU34" i="3"/>
  <c r="FX33" i="3"/>
  <c r="GN32" i="3"/>
  <c r="FU32" i="3"/>
  <c r="FX31" i="3"/>
  <c r="GN30" i="3"/>
  <c r="FU30" i="3"/>
  <c r="FX29" i="3"/>
  <c r="GN28" i="3"/>
  <c r="FU28" i="3"/>
  <c r="GB26" i="3"/>
  <c r="FZ16" i="3"/>
  <c r="GE16" i="3" s="1"/>
  <c r="GJ16" i="3" s="1"/>
  <c r="FY16" i="3"/>
  <c r="GD16" i="3" s="1"/>
  <c r="GI16" i="3" s="1"/>
  <c r="FX16" i="3"/>
  <c r="GC16" i="3" s="1"/>
  <c r="GH16" i="3" s="1"/>
  <c r="FW16" i="3"/>
  <c r="GB16" i="3" s="1"/>
  <c r="GG16" i="3" s="1"/>
  <c r="FV16" i="3"/>
  <c r="GA16" i="3" s="1"/>
  <c r="GF16" i="3" s="1"/>
  <c r="FZ15" i="3"/>
  <c r="GE15" i="3" s="1"/>
  <c r="GJ15" i="3" s="1"/>
  <c r="FY15" i="3"/>
  <c r="GD15" i="3" s="1"/>
  <c r="GI15" i="3" s="1"/>
  <c r="FX15" i="3"/>
  <c r="GC15" i="3" s="1"/>
  <c r="GH15" i="3" s="1"/>
  <c r="FW15" i="3"/>
  <c r="GB15" i="3" s="1"/>
  <c r="GG15" i="3" s="1"/>
  <c r="FV15" i="3"/>
  <c r="GA15" i="3" s="1"/>
  <c r="GF15" i="3" s="1"/>
  <c r="FZ14" i="3"/>
  <c r="GE14" i="3" s="1"/>
  <c r="GJ14" i="3" s="1"/>
  <c r="FY14" i="3"/>
  <c r="GD14" i="3" s="1"/>
  <c r="GI14" i="3" s="1"/>
  <c r="FX14" i="3"/>
  <c r="GC14" i="3" s="1"/>
  <c r="GH14" i="3" s="1"/>
  <c r="FW14" i="3"/>
  <c r="GB14" i="3" s="1"/>
  <c r="GG14" i="3" s="1"/>
  <c r="FV14" i="3"/>
  <c r="GA14" i="3" s="1"/>
  <c r="GF14" i="3" s="1"/>
  <c r="FZ13" i="3"/>
  <c r="GE13" i="3" s="1"/>
  <c r="GJ13" i="3" s="1"/>
  <c r="FY13" i="3"/>
  <c r="GD13" i="3" s="1"/>
  <c r="GI13" i="3" s="1"/>
  <c r="FX13" i="3"/>
  <c r="GC13" i="3" s="1"/>
  <c r="GH13" i="3" s="1"/>
  <c r="FW13" i="3"/>
  <c r="GB13" i="3" s="1"/>
  <c r="GG13" i="3" s="1"/>
  <c r="FV13" i="3"/>
  <c r="GA13" i="3" s="1"/>
  <c r="GF13" i="3" s="1"/>
  <c r="FZ12" i="3"/>
  <c r="GE12" i="3" s="1"/>
  <c r="GJ12" i="3" s="1"/>
  <c r="FY12" i="3"/>
  <c r="GD12" i="3" s="1"/>
  <c r="GI12" i="3" s="1"/>
  <c r="FX12" i="3"/>
  <c r="GC12" i="3" s="1"/>
  <c r="GH12" i="3" s="1"/>
  <c r="FW12" i="3"/>
  <c r="GB12" i="3" s="1"/>
  <c r="GG12" i="3" s="1"/>
  <c r="FV12" i="3"/>
  <c r="GA12" i="3" s="1"/>
  <c r="GF12" i="3" s="1"/>
  <c r="FZ11" i="3"/>
  <c r="GE11" i="3" s="1"/>
  <c r="GJ11" i="3" s="1"/>
  <c r="FY11" i="3"/>
  <c r="GD11" i="3" s="1"/>
  <c r="GI11" i="3" s="1"/>
  <c r="FX11" i="3"/>
  <c r="GC11" i="3" s="1"/>
  <c r="GH11" i="3" s="1"/>
  <c r="FW11" i="3"/>
  <c r="GB11" i="3" s="1"/>
  <c r="GG11" i="3" s="1"/>
  <c r="FV11" i="3"/>
  <c r="GA11" i="3" s="1"/>
  <c r="GF11" i="3" s="1"/>
  <c r="FZ10" i="3"/>
  <c r="GE10" i="3" s="1"/>
  <c r="GJ10" i="3" s="1"/>
  <c r="FY10" i="3"/>
  <c r="GD10" i="3" s="1"/>
  <c r="GI10" i="3" s="1"/>
  <c r="FX10" i="3"/>
  <c r="GC10" i="3" s="1"/>
  <c r="GH10" i="3" s="1"/>
  <c r="FW10" i="3"/>
  <c r="GB10" i="3" s="1"/>
  <c r="GG10" i="3" s="1"/>
  <c r="FV10" i="3"/>
  <c r="GA10" i="3" s="1"/>
  <c r="GF10" i="3" s="1"/>
  <c r="FZ9" i="3"/>
  <c r="GE9" i="3" s="1"/>
  <c r="GJ9" i="3" s="1"/>
  <c r="FY9" i="3"/>
  <c r="GD9" i="3" s="1"/>
  <c r="GI9" i="3" s="1"/>
  <c r="FX9" i="3"/>
  <c r="GC9" i="3" s="1"/>
  <c r="GH9" i="3" s="1"/>
  <c r="FW9" i="3"/>
  <c r="GB9" i="3" s="1"/>
  <c r="GG9" i="3" s="1"/>
  <c r="FV9" i="3"/>
  <c r="GA9" i="3" s="1"/>
  <c r="GF9" i="3" s="1"/>
  <c r="FZ8" i="3"/>
  <c r="GE8" i="3" s="1"/>
  <c r="GJ8" i="3" s="1"/>
  <c r="FY8" i="3"/>
  <c r="GD8" i="3" s="1"/>
  <c r="GI8" i="3" s="1"/>
  <c r="FX8" i="3"/>
  <c r="GC8" i="3" s="1"/>
  <c r="GH8" i="3" s="1"/>
  <c r="FW8" i="3"/>
  <c r="GB8" i="3" s="1"/>
  <c r="GG8" i="3" s="1"/>
  <c r="GL8" i="3" s="1"/>
  <c r="FV8" i="3"/>
  <c r="GA8" i="3" s="1"/>
  <c r="GF8" i="3" s="1"/>
  <c r="FZ7" i="3"/>
  <c r="GE7" i="3" s="1"/>
  <c r="GJ7" i="3" s="1"/>
  <c r="FY7" i="3"/>
  <c r="GD7" i="3" s="1"/>
  <c r="GI7" i="3" s="1"/>
  <c r="FX7" i="3"/>
  <c r="GC7" i="3" s="1"/>
  <c r="GH7" i="3" s="1"/>
  <c r="FW7" i="3"/>
  <c r="GB7" i="3" s="1"/>
  <c r="GG7" i="3" s="1"/>
  <c r="FV7" i="3"/>
  <c r="GA7" i="3" s="1"/>
  <c r="GF7" i="3" s="1"/>
  <c r="FZ6" i="3"/>
  <c r="GE6" i="3" s="1"/>
  <c r="GJ6" i="3" s="1"/>
  <c r="FY6" i="3"/>
  <c r="GD6" i="3" s="1"/>
  <c r="GI6" i="3" s="1"/>
  <c r="FX6" i="3"/>
  <c r="GC6" i="3" s="1"/>
  <c r="GH6" i="3" s="1"/>
  <c r="FW6" i="3"/>
  <c r="GB6" i="3" s="1"/>
  <c r="GG6" i="3" s="1"/>
  <c r="FV6" i="3"/>
  <c r="GA6" i="3" s="1"/>
  <c r="GF6" i="3" s="1"/>
  <c r="FZ5" i="3"/>
  <c r="GE5" i="3" s="1"/>
  <c r="GJ5" i="3" s="1"/>
  <c r="FY5" i="3"/>
  <c r="GD5" i="3" s="1"/>
  <c r="GI5" i="3" s="1"/>
  <c r="FX5" i="3"/>
  <c r="GC5" i="3" s="1"/>
  <c r="GH5" i="3" s="1"/>
  <c r="FW5" i="3"/>
  <c r="GB5" i="3" s="1"/>
  <c r="GG5" i="3" s="1"/>
  <c r="FV5" i="3"/>
  <c r="GA5" i="3" s="1"/>
  <c r="GF5" i="3" s="1"/>
  <c r="CG141" i="3" l="1"/>
  <c r="CQ141" i="3" s="1"/>
  <c r="CT141" i="3"/>
  <c r="CU141" i="3" s="1"/>
  <c r="CA141" i="3"/>
  <c r="CB141" i="3" s="1"/>
  <c r="BS141" i="3"/>
  <c r="BR141" i="3" s="1"/>
  <c r="A384" i="3"/>
  <c r="A385" i="3"/>
  <c r="FX77" i="3"/>
  <c r="GL13" i="3" s="1"/>
  <c r="GM8" i="3"/>
  <c r="FX75" i="3"/>
  <c r="GO11" i="3" s="1"/>
  <c r="FV70" i="3"/>
  <c r="FX69" i="3"/>
  <c r="GL5" i="3" s="1"/>
  <c r="FX70" i="3"/>
  <c r="GO6" i="3" s="1"/>
  <c r="GG135" i="3"/>
  <c r="GQ135" i="3" s="1"/>
  <c r="FX79" i="3"/>
  <c r="GK15" i="3" s="1"/>
  <c r="FX74" i="3"/>
  <c r="GN10" i="3" s="1"/>
  <c r="FV69" i="3"/>
  <c r="FV71" i="3"/>
  <c r="FV75" i="3"/>
  <c r="FV79" i="3"/>
  <c r="FX78" i="3"/>
  <c r="GM14" i="3" s="1"/>
  <c r="FX73" i="3"/>
  <c r="GL9" i="3" s="1"/>
  <c r="GK5" i="3"/>
  <c r="GK8" i="3"/>
  <c r="FU36" i="3"/>
  <c r="FQ71" i="3"/>
  <c r="GO8" i="3"/>
  <c r="GN8" i="3"/>
  <c r="FV80" i="3"/>
  <c r="FV76" i="3"/>
  <c r="FV72" i="3"/>
  <c r="FX80" i="3"/>
  <c r="FX76" i="3"/>
  <c r="FX71" i="3"/>
  <c r="GM13" i="3"/>
  <c r="GK6" i="3"/>
  <c r="GM6" i="3"/>
  <c r="GF135" i="3"/>
  <c r="GP135" i="3" s="1"/>
  <c r="GH135" i="3"/>
  <c r="GR135" i="3" s="1"/>
  <c r="FS135" i="3"/>
  <c r="FR135" i="3" s="1"/>
  <c r="FQ135" i="3" s="1"/>
  <c r="GE135" i="3"/>
  <c r="GO135" i="3" s="1"/>
  <c r="GD135" i="3"/>
  <c r="FY136" i="3"/>
  <c r="GL6" i="3"/>
  <c r="FV77" i="3"/>
  <c r="FV73" i="3"/>
  <c r="GO5" i="3"/>
  <c r="GO13" i="3"/>
  <c r="D340" i="3"/>
  <c r="C339" i="3"/>
  <c r="B387" i="3"/>
  <c r="A386" i="3"/>
  <c r="K340" i="3"/>
  <c r="J339" i="3"/>
  <c r="FW76" i="3"/>
  <c r="FW80" i="3"/>
  <c r="FW72" i="3"/>
  <c r="FY72" i="3" s="1"/>
  <c r="FV40" i="3"/>
  <c r="FU38" i="3"/>
  <c r="FW74" i="3"/>
  <c r="FW78" i="3"/>
  <c r="FW69" i="3"/>
  <c r="FR73" i="3"/>
  <c r="FQ72" i="3"/>
  <c r="FW70" i="3"/>
  <c r="FW79" i="3"/>
  <c r="FW71" i="3"/>
  <c r="FW75" i="3"/>
  <c r="FV138" i="3"/>
  <c r="FW139" i="3"/>
  <c r="FX138" i="3"/>
  <c r="FV137" i="3"/>
  <c r="FX137" i="3"/>
  <c r="FY137" i="3" s="1"/>
  <c r="FY75" i="3" l="1"/>
  <c r="GM15" i="3"/>
  <c r="GN6" i="3"/>
  <c r="GK13" i="3"/>
  <c r="FZ135" i="3"/>
  <c r="GA135" i="3" s="1"/>
  <c r="GM5" i="3"/>
  <c r="GP5" i="3" s="1"/>
  <c r="GN5" i="3"/>
  <c r="FY69" i="3"/>
  <c r="GA69" i="3" s="1"/>
  <c r="GN13" i="3"/>
  <c r="GN15" i="3"/>
  <c r="FY77" i="3"/>
  <c r="GN9" i="3"/>
  <c r="GG136" i="3"/>
  <c r="GG137" i="3" s="1"/>
  <c r="GQ137" i="3" s="1"/>
  <c r="GM9" i="3"/>
  <c r="GO9" i="3"/>
  <c r="GK9" i="3"/>
  <c r="FY73" i="3"/>
  <c r="FY70" i="3"/>
  <c r="GA70" i="3" s="1"/>
  <c r="GL11" i="3"/>
  <c r="GL14" i="3"/>
  <c r="GK11" i="3"/>
  <c r="GN11" i="3"/>
  <c r="GO14" i="3"/>
  <c r="FY78" i="3"/>
  <c r="GF136" i="3"/>
  <c r="GP136" i="3" s="1"/>
  <c r="GK14" i="3"/>
  <c r="GM11" i="3"/>
  <c r="GN14" i="3"/>
  <c r="GL10" i="3"/>
  <c r="GM10" i="3"/>
  <c r="FY79" i="3"/>
  <c r="FY74" i="3"/>
  <c r="GK10" i="3"/>
  <c r="GO15" i="3"/>
  <c r="GO10" i="3"/>
  <c r="GL15" i="3"/>
  <c r="GE136" i="3"/>
  <c r="GS11" i="3"/>
  <c r="GN12" i="3"/>
  <c r="FY76" i="3"/>
  <c r="GM12" i="3"/>
  <c r="GO12" i="3"/>
  <c r="GK12" i="3"/>
  <c r="GL12" i="3"/>
  <c r="C340" i="3"/>
  <c r="D341" i="3"/>
  <c r="GU14" i="3"/>
  <c r="GN16" i="3"/>
  <c r="FY80" i="3"/>
  <c r="GM16" i="3"/>
  <c r="GO16" i="3"/>
  <c r="GK16" i="3"/>
  <c r="GL16" i="3"/>
  <c r="GQ14" i="3"/>
  <c r="GH136" i="3"/>
  <c r="GH137" i="3" s="1"/>
  <c r="FS136" i="3"/>
  <c r="FR136" i="3" s="1"/>
  <c r="FQ136" i="3" s="1"/>
  <c r="GD136" i="3"/>
  <c r="GD137" i="3" s="1"/>
  <c r="GN135" i="3"/>
  <c r="GS135" i="3" s="1"/>
  <c r="GT135" i="3" s="1"/>
  <c r="GO7" i="3"/>
  <c r="GN7" i="3"/>
  <c r="GM7" i="3"/>
  <c r="GK7" i="3"/>
  <c r="FY71" i="3"/>
  <c r="GA71" i="3" s="1"/>
  <c r="GL7" i="3"/>
  <c r="A387" i="3"/>
  <c r="B388" i="3"/>
  <c r="J340" i="3"/>
  <c r="K341" i="3"/>
  <c r="GQ136" i="3"/>
  <c r="GP8" i="3"/>
  <c r="GP6" i="3"/>
  <c r="GR136" i="3"/>
  <c r="FV139" i="3"/>
  <c r="FW140" i="3"/>
  <c r="FX139" i="3"/>
  <c r="FY139" i="3" s="1"/>
  <c r="FR74" i="3"/>
  <c r="FQ73" i="3"/>
  <c r="FZ136" i="3"/>
  <c r="GA136" i="3" s="1"/>
  <c r="FY138" i="3"/>
  <c r="FV42" i="3"/>
  <c r="FU40" i="3"/>
  <c r="EP45" i="3"/>
  <c r="EK27" i="3"/>
  <c r="EK28" i="3" s="1"/>
  <c r="EO137" i="3"/>
  <c r="EO138" i="3" s="1"/>
  <c r="EP136" i="3"/>
  <c r="EN136" i="3"/>
  <c r="EP135" i="3"/>
  <c r="EQ135" i="3" s="1"/>
  <c r="EN135" i="3"/>
  <c r="EL80" i="3"/>
  <c r="EM80" i="3" s="1"/>
  <c r="EO80" i="3" s="1"/>
  <c r="EL79" i="3"/>
  <c r="EM79" i="3" s="1"/>
  <c r="EO79" i="3" s="1"/>
  <c r="EL78" i="3"/>
  <c r="EM78" i="3" s="1"/>
  <c r="EO78" i="3" s="1"/>
  <c r="EL77" i="3"/>
  <c r="EM77" i="3" s="1"/>
  <c r="EO77" i="3" s="1"/>
  <c r="EL76" i="3"/>
  <c r="EM76" i="3" s="1"/>
  <c r="EO76" i="3" s="1"/>
  <c r="EL75" i="3"/>
  <c r="EM75" i="3" s="1"/>
  <c r="EO75" i="3" s="1"/>
  <c r="EL74" i="3"/>
  <c r="EM74" i="3" s="1"/>
  <c r="EO74" i="3" s="1"/>
  <c r="EL73" i="3"/>
  <c r="EM73" i="3" s="1"/>
  <c r="EO73" i="3" s="1"/>
  <c r="EL72" i="3"/>
  <c r="EM72" i="3" s="1"/>
  <c r="EO72" i="3" s="1"/>
  <c r="EL71" i="3"/>
  <c r="EM71" i="3" s="1"/>
  <c r="EO71" i="3" s="1"/>
  <c r="EJ71" i="3"/>
  <c r="EJ72" i="3" s="1"/>
  <c r="EI72" i="3" s="1"/>
  <c r="EL70" i="3"/>
  <c r="EM70" i="3" s="1"/>
  <c r="EO70" i="3" s="1"/>
  <c r="EI70" i="3"/>
  <c r="EL69" i="3"/>
  <c r="EM69" i="3" s="1"/>
  <c r="EO69" i="3" s="1"/>
  <c r="EI69" i="3"/>
  <c r="EP51" i="3"/>
  <c r="FF50" i="3"/>
  <c r="EP49" i="3"/>
  <c r="FF48" i="3"/>
  <c r="EP47" i="3"/>
  <c r="FF46" i="3"/>
  <c r="FF44" i="3"/>
  <c r="EP43" i="3"/>
  <c r="FF42" i="3"/>
  <c r="EP41" i="3"/>
  <c r="FF40" i="3"/>
  <c r="EP39" i="3"/>
  <c r="FF38" i="3"/>
  <c r="EP37" i="3"/>
  <c r="FF36" i="3"/>
  <c r="EN36" i="3"/>
  <c r="EN38" i="3" s="1"/>
  <c r="EP35" i="3"/>
  <c r="FF34" i="3"/>
  <c r="EM34" i="3"/>
  <c r="EP33" i="3"/>
  <c r="FF32" i="3"/>
  <c r="EM32" i="3"/>
  <c r="EP31" i="3"/>
  <c r="FF30" i="3"/>
  <c r="EM30" i="3"/>
  <c r="EP29" i="3"/>
  <c r="FF28" i="3"/>
  <c r="EM28" i="3"/>
  <c r="ET26" i="3"/>
  <c r="ER16" i="3"/>
  <c r="EW16" i="3" s="1"/>
  <c r="FB16" i="3" s="1"/>
  <c r="EQ16" i="3"/>
  <c r="EV16" i="3" s="1"/>
  <c r="FA16" i="3" s="1"/>
  <c r="EP16" i="3"/>
  <c r="EU16" i="3" s="1"/>
  <c r="EZ16" i="3" s="1"/>
  <c r="EO16" i="3"/>
  <c r="ET16" i="3" s="1"/>
  <c r="EY16" i="3" s="1"/>
  <c r="EN16" i="3"/>
  <c r="ES16" i="3" s="1"/>
  <c r="EX16" i="3" s="1"/>
  <c r="ER15" i="3"/>
  <c r="EW15" i="3" s="1"/>
  <c r="FB15" i="3" s="1"/>
  <c r="EQ15" i="3"/>
  <c r="EV15" i="3" s="1"/>
  <c r="FA15" i="3" s="1"/>
  <c r="EP15" i="3"/>
  <c r="EU15" i="3" s="1"/>
  <c r="EZ15" i="3" s="1"/>
  <c r="EO15" i="3"/>
  <c r="ET15" i="3" s="1"/>
  <c r="EY15" i="3" s="1"/>
  <c r="EN15" i="3"/>
  <c r="ES15" i="3" s="1"/>
  <c r="EX15" i="3" s="1"/>
  <c r="ER14" i="3"/>
  <c r="EW14" i="3" s="1"/>
  <c r="FB14" i="3" s="1"/>
  <c r="EQ14" i="3"/>
  <c r="EV14" i="3" s="1"/>
  <c r="FA14" i="3" s="1"/>
  <c r="EP14" i="3"/>
  <c r="EU14" i="3" s="1"/>
  <c r="EZ14" i="3" s="1"/>
  <c r="EO14" i="3"/>
  <c r="ET14" i="3" s="1"/>
  <c r="EY14" i="3" s="1"/>
  <c r="EN14" i="3"/>
  <c r="ES14" i="3" s="1"/>
  <c r="EX14" i="3" s="1"/>
  <c r="ER13" i="3"/>
  <c r="EW13" i="3" s="1"/>
  <c r="FB13" i="3" s="1"/>
  <c r="EQ13" i="3"/>
  <c r="EV13" i="3" s="1"/>
  <c r="FA13" i="3" s="1"/>
  <c r="EP13" i="3"/>
  <c r="EU13" i="3" s="1"/>
  <c r="EZ13" i="3" s="1"/>
  <c r="EO13" i="3"/>
  <c r="ET13" i="3" s="1"/>
  <c r="EY13" i="3" s="1"/>
  <c r="EN13" i="3"/>
  <c r="ES13" i="3" s="1"/>
  <c r="EX13" i="3" s="1"/>
  <c r="ER12" i="3"/>
  <c r="EW12" i="3" s="1"/>
  <c r="FB12" i="3" s="1"/>
  <c r="EQ12" i="3"/>
  <c r="EV12" i="3" s="1"/>
  <c r="FA12" i="3" s="1"/>
  <c r="EP12" i="3"/>
  <c r="EU12" i="3" s="1"/>
  <c r="EZ12" i="3" s="1"/>
  <c r="EO12" i="3"/>
  <c r="ET12" i="3" s="1"/>
  <c r="EY12" i="3" s="1"/>
  <c r="EN12" i="3"/>
  <c r="ES12" i="3" s="1"/>
  <c r="EX12" i="3" s="1"/>
  <c r="ER11" i="3"/>
  <c r="EW11" i="3" s="1"/>
  <c r="FB11" i="3" s="1"/>
  <c r="EQ11" i="3"/>
  <c r="EV11" i="3" s="1"/>
  <c r="FA11" i="3" s="1"/>
  <c r="EP11" i="3"/>
  <c r="EU11" i="3" s="1"/>
  <c r="EZ11" i="3" s="1"/>
  <c r="EO11" i="3"/>
  <c r="ET11" i="3" s="1"/>
  <c r="EY11" i="3" s="1"/>
  <c r="EN11" i="3"/>
  <c r="ES11" i="3" s="1"/>
  <c r="EX11" i="3" s="1"/>
  <c r="ER10" i="3"/>
  <c r="EW10" i="3" s="1"/>
  <c r="FB10" i="3" s="1"/>
  <c r="EQ10" i="3"/>
  <c r="EV10" i="3" s="1"/>
  <c r="FA10" i="3" s="1"/>
  <c r="EP10" i="3"/>
  <c r="EU10" i="3" s="1"/>
  <c r="EZ10" i="3" s="1"/>
  <c r="EO10" i="3"/>
  <c r="ET10" i="3" s="1"/>
  <c r="EY10" i="3" s="1"/>
  <c r="EN10" i="3"/>
  <c r="ES10" i="3" s="1"/>
  <c r="EX10" i="3" s="1"/>
  <c r="ER9" i="3"/>
  <c r="EW9" i="3" s="1"/>
  <c r="FB9" i="3" s="1"/>
  <c r="EQ9" i="3"/>
  <c r="EV9" i="3" s="1"/>
  <c r="FA9" i="3" s="1"/>
  <c r="EP9" i="3"/>
  <c r="EU9" i="3" s="1"/>
  <c r="EZ9" i="3" s="1"/>
  <c r="EO9" i="3"/>
  <c r="ET9" i="3" s="1"/>
  <c r="EY9" i="3" s="1"/>
  <c r="EN9" i="3"/>
  <c r="ES9" i="3" s="1"/>
  <c r="EX9" i="3" s="1"/>
  <c r="ER8" i="3"/>
  <c r="EW8" i="3" s="1"/>
  <c r="FB8" i="3" s="1"/>
  <c r="EQ8" i="3"/>
  <c r="EV8" i="3" s="1"/>
  <c r="FA8" i="3" s="1"/>
  <c r="EP8" i="3"/>
  <c r="EU8" i="3" s="1"/>
  <c r="EZ8" i="3" s="1"/>
  <c r="EO8" i="3"/>
  <c r="ET8" i="3" s="1"/>
  <c r="EY8" i="3" s="1"/>
  <c r="EN8" i="3"/>
  <c r="ES8" i="3" s="1"/>
  <c r="EX8" i="3" s="1"/>
  <c r="ER7" i="3"/>
  <c r="EW7" i="3" s="1"/>
  <c r="FB7" i="3" s="1"/>
  <c r="EQ7" i="3"/>
  <c r="EV7" i="3" s="1"/>
  <c r="FA7" i="3" s="1"/>
  <c r="EP7" i="3"/>
  <c r="EU7" i="3" s="1"/>
  <c r="EZ7" i="3" s="1"/>
  <c r="EO7" i="3"/>
  <c r="ET7" i="3" s="1"/>
  <c r="EY7" i="3" s="1"/>
  <c r="EN7" i="3"/>
  <c r="ES7" i="3" s="1"/>
  <c r="EX7" i="3" s="1"/>
  <c r="ER6" i="3"/>
  <c r="EW6" i="3" s="1"/>
  <c r="FB6" i="3" s="1"/>
  <c r="EQ6" i="3"/>
  <c r="EV6" i="3" s="1"/>
  <c r="FA6" i="3" s="1"/>
  <c r="EP6" i="3"/>
  <c r="EU6" i="3" s="1"/>
  <c r="EZ6" i="3" s="1"/>
  <c r="EO6" i="3"/>
  <c r="ET6" i="3" s="1"/>
  <c r="EY6" i="3" s="1"/>
  <c r="EN6" i="3"/>
  <c r="ES6" i="3" s="1"/>
  <c r="EX6" i="3" s="1"/>
  <c r="ER5" i="3"/>
  <c r="EW5" i="3" s="1"/>
  <c r="FB5" i="3" s="1"/>
  <c r="EQ5" i="3"/>
  <c r="EV5" i="3" s="1"/>
  <c r="FA5" i="3" s="1"/>
  <c r="EP5" i="3"/>
  <c r="EU5" i="3" s="1"/>
  <c r="EZ5" i="3" s="1"/>
  <c r="EO5" i="3"/>
  <c r="ET5" i="3" s="1"/>
  <c r="EY5" i="3" s="1"/>
  <c r="EN5" i="3"/>
  <c r="ES5" i="3" s="1"/>
  <c r="EX5" i="3" s="1"/>
  <c r="GU5" i="3" l="1"/>
  <c r="GS9" i="3"/>
  <c r="GT9" i="3"/>
  <c r="GS13" i="3"/>
  <c r="GQ10" i="3"/>
  <c r="GA79" i="3"/>
  <c r="GQ16" i="3"/>
  <c r="GQ7" i="3"/>
  <c r="GQ8" i="3"/>
  <c r="GT11" i="3"/>
  <c r="GS16" i="3"/>
  <c r="GR13" i="3"/>
  <c r="GQ13" i="3"/>
  <c r="GA78" i="3"/>
  <c r="GU8" i="3"/>
  <c r="GA76" i="3"/>
  <c r="GQ5" i="3"/>
  <c r="GV5" i="3" s="1"/>
  <c r="GT8" i="3"/>
  <c r="GR8" i="3"/>
  <c r="GR16" i="3"/>
  <c r="GS15" i="3"/>
  <c r="GA77" i="3"/>
  <c r="GT12" i="3"/>
  <c r="GU10" i="3"/>
  <c r="GQ12" i="3"/>
  <c r="GP9" i="3"/>
  <c r="GQ11" i="3"/>
  <c r="GT6" i="3"/>
  <c r="GU12" i="3"/>
  <c r="GR14" i="3"/>
  <c r="GA75" i="3"/>
  <c r="GQ6" i="3"/>
  <c r="GR7" i="3"/>
  <c r="GT7" i="3"/>
  <c r="GU7" i="3"/>
  <c r="GU13" i="3"/>
  <c r="GU15" i="3"/>
  <c r="GS5" i="3"/>
  <c r="GR5" i="3"/>
  <c r="GA80" i="3"/>
  <c r="GU16" i="3"/>
  <c r="GR15" i="3"/>
  <c r="GR10" i="3"/>
  <c r="GQ9" i="3"/>
  <c r="GS8" i="3"/>
  <c r="GQ15" i="3"/>
  <c r="GR11" i="3"/>
  <c r="GR6" i="3"/>
  <c r="GA74" i="3"/>
  <c r="GA72" i="3"/>
  <c r="GA73" i="3"/>
  <c r="GP13" i="3"/>
  <c r="GS7" i="3"/>
  <c r="GT15" i="3"/>
  <c r="GT14" i="3"/>
  <c r="GR9" i="3"/>
  <c r="GS6" i="3"/>
  <c r="GS10" i="3"/>
  <c r="GU9" i="3"/>
  <c r="GT16" i="3"/>
  <c r="GU11" i="3"/>
  <c r="GT10" i="3"/>
  <c r="GV10" i="3" s="1"/>
  <c r="GT5" i="3"/>
  <c r="GR12" i="3"/>
  <c r="GS12" i="3"/>
  <c r="GV12" i="3" s="1"/>
  <c r="GU6" i="3"/>
  <c r="GS14" i="3"/>
  <c r="GT13" i="3"/>
  <c r="GV13" i="3" s="1"/>
  <c r="GP11" i="3"/>
  <c r="GF137" i="3"/>
  <c r="GF138" i="3" s="1"/>
  <c r="GF139" i="3" s="1"/>
  <c r="GP14" i="3"/>
  <c r="GP7" i="3"/>
  <c r="GV14" i="3"/>
  <c r="GP12" i="3"/>
  <c r="GP10" i="3"/>
  <c r="GN136" i="3"/>
  <c r="GP15" i="3"/>
  <c r="GH138" i="3"/>
  <c r="GH139" i="3" s="1"/>
  <c r="GP16" i="3"/>
  <c r="EK135" i="3"/>
  <c r="EJ135" i="3" s="1"/>
  <c r="EY135" i="3"/>
  <c r="FI135" i="3" s="1"/>
  <c r="EZ135" i="3"/>
  <c r="FJ135" i="3" s="1"/>
  <c r="EW135" i="3"/>
  <c r="FG135" i="3" s="1"/>
  <c r="EV135" i="3"/>
  <c r="FF135" i="3" s="1"/>
  <c r="EX135" i="3"/>
  <c r="FH135" i="3" s="1"/>
  <c r="EN73" i="3"/>
  <c r="EN70" i="3"/>
  <c r="EN78" i="3"/>
  <c r="EN71" i="3"/>
  <c r="EN75" i="3"/>
  <c r="EN72" i="3"/>
  <c r="EN76" i="3"/>
  <c r="EN80" i="3"/>
  <c r="EN77" i="3"/>
  <c r="EN69" i="3"/>
  <c r="EN74" i="3"/>
  <c r="EN79" i="3"/>
  <c r="EM36" i="3"/>
  <c r="EP79" i="3"/>
  <c r="EP75" i="3"/>
  <c r="EP71" i="3"/>
  <c r="GD138" i="3"/>
  <c r="GD139" i="3" s="1"/>
  <c r="GG138" i="3"/>
  <c r="GG139" i="3" s="1"/>
  <c r="GE137" i="3"/>
  <c r="GO136" i="3"/>
  <c r="EP78" i="3"/>
  <c r="EP74" i="3"/>
  <c r="EP70" i="3"/>
  <c r="FS137" i="3"/>
  <c r="FS138" i="3" s="1"/>
  <c r="FS139" i="3" s="1"/>
  <c r="FR139" i="3" s="1"/>
  <c r="EQ136" i="3"/>
  <c r="EP69" i="3"/>
  <c r="EP77" i="3"/>
  <c r="EP73" i="3"/>
  <c r="EP80" i="3"/>
  <c r="EP76" i="3"/>
  <c r="EP72" i="3"/>
  <c r="C341" i="3"/>
  <c r="D342" i="3"/>
  <c r="B389" i="3"/>
  <c r="A388" i="3"/>
  <c r="J341" i="3"/>
  <c r="GN137" i="3"/>
  <c r="FQ74" i="3"/>
  <c r="FR75" i="3"/>
  <c r="FW141" i="3"/>
  <c r="FX140" i="3"/>
  <c r="FY140" i="3" s="1"/>
  <c r="FV140" i="3"/>
  <c r="FV44" i="3"/>
  <c r="FU42" i="3"/>
  <c r="GR137" i="3"/>
  <c r="EN40" i="3"/>
  <c r="EM38" i="3"/>
  <c r="EJ73" i="3"/>
  <c r="EN138" i="3"/>
  <c r="EO139" i="3"/>
  <c r="EP138" i="3"/>
  <c r="EI71" i="3"/>
  <c r="EN137" i="3"/>
  <c r="EP137" i="3"/>
  <c r="EQ137" i="3" s="1"/>
  <c r="GV11" i="3" l="1"/>
  <c r="GV7" i="3"/>
  <c r="GV8" i="3"/>
  <c r="GV16" i="3"/>
  <c r="GV9" i="3"/>
  <c r="GV6" i="3"/>
  <c r="GV15" i="3"/>
  <c r="GS136" i="3"/>
  <c r="GT136" i="3" s="1"/>
  <c r="GD140" i="3"/>
  <c r="GH140" i="3"/>
  <c r="FR137" i="3"/>
  <c r="FQ137" i="3" s="1"/>
  <c r="GP137" i="3"/>
  <c r="FR138" i="3"/>
  <c r="FQ138" i="3" s="1"/>
  <c r="FZ137" i="3"/>
  <c r="GA137" i="3" s="1"/>
  <c r="GF140" i="3"/>
  <c r="GG140" i="3"/>
  <c r="FK135" i="3"/>
  <c r="FL135" i="3" s="1"/>
  <c r="FD8" i="3"/>
  <c r="FE8" i="3"/>
  <c r="FF8" i="3"/>
  <c r="FG8" i="3"/>
  <c r="FC8" i="3"/>
  <c r="EQ72" i="3"/>
  <c r="FG9" i="3"/>
  <c r="FD9" i="3"/>
  <c r="FE9" i="3"/>
  <c r="FF9" i="3"/>
  <c r="FC9" i="3"/>
  <c r="EQ73" i="3"/>
  <c r="EQ138" i="3"/>
  <c r="GQ138" i="3"/>
  <c r="C342" i="3"/>
  <c r="D343" i="3"/>
  <c r="FD12" i="3"/>
  <c r="FC12" i="3"/>
  <c r="FE12" i="3"/>
  <c r="FF12" i="3"/>
  <c r="FG12" i="3"/>
  <c r="EQ76" i="3"/>
  <c r="FG13" i="3"/>
  <c r="FC13" i="3"/>
  <c r="FD13" i="3"/>
  <c r="FE13" i="3"/>
  <c r="FF13" i="3"/>
  <c r="EQ77" i="3"/>
  <c r="FS140" i="3"/>
  <c r="FR140" i="3" s="1"/>
  <c r="FD15" i="3"/>
  <c r="FE15" i="3"/>
  <c r="FC15" i="3"/>
  <c r="FF15" i="3"/>
  <c r="FG15" i="3"/>
  <c r="EQ79" i="3"/>
  <c r="FD16" i="3"/>
  <c r="FC16" i="3"/>
  <c r="FE16" i="3"/>
  <c r="FF16" i="3"/>
  <c r="FG16" i="3"/>
  <c r="EQ80" i="3"/>
  <c r="FG5" i="3"/>
  <c r="FD5" i="3"/>
  <c r="FE5" i="3"/>
  <c r="FF5" i="3"/>
  <c r="FC5" i="3"/>
  <c r="EQ69" i="3"/>
  <c r="ES69" i="3" s="1"/>
  <c r="FD6" i="3"/>
  <c r="FE6" i="3"/>
  <c r="FF6" i="3"/>
  <c r="FC6" i="3"/>
  <c r="FG6" i="3"/>
  <c r="EQ70" i="3"/>
  <c r="GE138" i="3"/>
  <c r="GO137" i="3"/>
  <c r="EZ136" i="3"/>
  <c r="EZ137" i="3" s="1"/>
  <c r="EW136" i="3"/>
  <c r="FG136" i="3" s="1"/>
  <c r="EX136" i="3"/>
  <c r="EX137" i="3" s="1"/>
  <c r="EY136" i="3"/>
  <c r="EY137" i="3" s="1"/>
  <c r="EV136" i="3"/>
  <c r="EV137" i="3" s="1"/>
  <c r="EK136" i="3"/>
  <c r="EJ136" i="3" s="1"/>
  <c r="EI136" i="3" s="1"/>
  <c r="FD10" i="3"/>
  <c r="FE10" i="3"/>
  <c r="FF10" i="3"/>
  <c r="FC10" i="3"/>
  <c r="FG10" i="3"/>
  <c r="EQ74" i="3"/>
  <c r="FD7" i="3"/>
  <c r="FE7" i="3"/>
  <c r="FC7" i="3"/>
  <c r="FF7" i="3"/>
  <c r="FG7" i="3"/>
  <c r="EQ71" i="3"/>
  <c r="FD14" i="3"/>
  <c r="FE14" i="3"/>
  <c r="FF14" i="3"/>
  <c r="FC14" i="3"/>
  <c r="FG14" i="3"/>
  <c r="EQ78" i="3"/>
  <c r="FD11" i="3"/>
  <c r="FE11" i="3"/>
  <c r="FC11" i="3"/>
  <c r="FF11" i="3"/>
  <c r="FG11" i="3"/>
  <c r="EQ75" i="3"/>
  <c r="A389" i="3"/>
  <c r="B390" i="3"/>
  <c r="FZ138" i="3"/>
  <c r="GA138" i="3" s="1"/>
  <c r="FW142" i="3"/>
  <c r="FX141" i="3"/>
  <c r="FY141" i="3" s="1"/>
  <c r="FV141" i="3"/>
  <c r="GP138" i="3"/>
  <c r="GN138" i="3"/>
  <c r="FV46" i="3"/>
  <c r="FU44" i="3"/>
  <c r="FQ75" i="3"/>
  <c r="FR76" i="3"/>
  <c r="GQ139" i="3"/>
  <c r="GR138" i="3"/>
  <c r="FZ139" i="3"/>
  <c r="GA139" i="3" s="1"/>
  <c r="FQ139" i="3"/>
  <c r="EI73" i="3"/>
  <c r="EJ74" i="3"/>
  <c r="ER135" i="3"/>
  <c r="ES135" i="3" s="1"/>
  <c r="EI135" i="3"/>
  <c r="EN42" i="3"/>
  <c r="EM40" i="3"/>
  <c r="EN139" i="3"/>
  <c r="EO140" i="3"/>
  <c r="EP139" i="3"/>
  <c r="EQ139" i="3" s="1"/>
  <c r="DG137" i="3"/>
  <c r="DG138" i="3" s="1"/>
  <c r="DH136" i="3"/>
  <c r="DF136" i="3"/>
  <c r="DH135" i="3"/>
  <c r="DI135" i="3" s="1"/>
  <c r="DF135" i="3"/>
  <c r="DD76" i="3"/>
  <c r="DE76" i="3" s="1"/>
  <c r="DG76" i="3" s="1"/>
  <c r="DD77" i="3"/>
  <c r="DE77" i="3" s="1"/>
  <c r="DG77" i="3" s="1"/>
  <c r="DD78" i="3"/>
  <c r="DE78" i="3" s="1"/>
  <c r="DG78" i="3" s="1"/>
  <c r="DD79" i="3"/>
  <c r="DE79" i="3" s="1"/>
  <c r="DG79" i="3" s="1"/>
  <c r="DD80" i="3"/>
  <c r="DE80" i="3" s="1"/>
  <c r="DG80" i="3" s="1"/>
  <c r="DD75" i="3"/>
  <c r="DE75" i="3" s="1"/>
  <c r="DD74" i="3"/>
  <c r="DE74" i="3" s="1"/>
  <c r="DG74" i="3" s="1"/>
  <c r="DD73" i="3"/>
  <c r="DE73" i="3" s="1"/>
  <c r="DD72" i="3"/>
  <c r="DE72" i="3" s="1"/>
  <c r="DD71" i="3"/>
  <c r="DE71" i="3" s="1"/>
  <c r="DB71" i="3"/>
  <c r="DA71" i="3" s="1"/>
  <c r="DD70" i="3"/>
  <c r="DE70" i="3" s="1"/>
  <c r="DG70" i="3" s="1"/>
  <c r="DA70" i="3"/>
  <c r="DD69" i="3"/>
  <c r="DE69" i="3" s="1"/>
  <c r="DG69" i="3" s="1"/>
  <c r="DA69" i="3"/>
  <c r="DJ16" i="3"/>
  <c r="DO16" i="3" s="1"/>
  <c r="DT16" i="3" s="1"/>
  <c r="DI16" i="3"/>
  <c r="DN16" i="3" s="1"/>
  <c r="DS16" i="3" s="1"/>
  <c r="DH16" i="3"/>
  <c r="DM16" i="3" s="1"/>
  <c r="DR16" i="3" s="1"/>
  <c r="DG16" i="3"/>
  <c r="DL16" i="3" s="1"/>
  <c r="DQ16" i="3" s="1"/>
  <c r="DF16" i="3"/>
  <c r="DK16" i="3" s="1"/>
  <c r="DP16" i="3" s="1"/>
  <c r="DJ15" i="3"/>
  <c r="DO15" i="3" s="1"/>
  <c r="DT15" i="3" s="1"/>
  <c r="DI15" i="3"/>
  <c r="DN15" i="3" s="1"/>
  <c r="DS15" i="3" s="1"/>
  <c r="DH15" i="3"/>
  <c r="DM15" i="3" s="1"/>
  <c r="DR15" i="3" s="1"/>
  <c r="DG15" i="3"/>
  <c r="DL15" i="3" s="1"/>
  <c r="DQ15" i="3" s="1"/>
  <c r="DF15" i="3"/>
  <c r="DK15" i="3" s="1"/>
  <c r="DP15" i="3" s="1"/>
  <c r="DJ14" i="3"/>
  <c r="DO14" i="3" s="1"/>
  <c r="DT14" i="3" s="1"/>
  <c r="DI14" i="3"/>
  <c r="DN14" i="3" s="1"/>
  <c r="DS14" i="3" s="1"/>
  <c r="DH14" i="3"/>
  <c r="DM14" i="3" s="1"/>
  <c r="DR14" i="3" s="1"/>
  <c r="DG14" i="3"/>
  <c r="DL14" i="3" s="1"/>
  <c r="DQ14" i="3" s="1"/>
  <c r="DF14" i="3"/>
  <c r="DK14" i="3" s="1"/>
  <c r="DP14" i="3" s="1"/>
  <c r="DJ13" i="3"/>
  <c r="DO13" i="3" s="1"/>
  <c r="DT13" i="3" s="1"/>
  <c r="DI13" i="3"/>
  <c r="DN13" i="3" s="1"/>
  <c r="DS13" i="3" s="1"/>
  <c r="DH13" i="3"/>
  <c r="DM13" i="3" s="1"/>
  <c r="DR13" i="3" s="1"/>
  <c r="DG13" i="3"/>
  <c r="DL13" i="3" s="1"/>
  <c r="DQ13" i="3" s="1"/>
  <c r="DF13" i="3"/>
  <c r="DK13" i="3" s="1"/>
  <c r="DP13" i="3" s="1"/>
  <c r="DJ12" i="3"/>
  <c r="DO12" i="3" s="1"/>
  <c r="DT12" i="3" s="1"/>
  <c r="DI12" i="3"/>
  <c r="DN12" i="3" s="1"/>
  <c r="DS12" i="3" s="1"/>
  <c r="DH12" i="3"/>
  <c r="DM12" i="3" s="1"/>
  <c r="DR12" i="3" s="1"/>
  <c r="DG12" i="3"/>
  <c r="DL12" i="3" s="1"/>
  <c r="DQ12" i="3" s="1"/>
  <c r="DF12" i="3"/>
  <c r="DK12" i="3" s="1"/>
  <c r="DP12" i="3" s="1"/>
  <c r="DX50" i="3"/>
  <c r="DX48" i="3"/>
  <c r="DX46" i="3"/>
  <c r="DX44" i="3"/>
  <c r="DX42" i="3"/>
  <c r="DH51" i="3"/>
  <c r="DH49" i="3"/>
  <c r="DH47" i="3"/>
  <c r="DH41" i="3"/>
  <c r="DH43" i="3"/>
  <c r="DH45" i="3"/>
  <c r="DH33" i="3"/>
  <c r="DH29" i="3"/>
  <c r="DC27" i="3"/>
  <c r="DC28" i="3" s="1"/>
  <c r="DX40" i="3"/>
  <c r="DH39" i="3"/>
  <c r="DX38" i="3"/>
  <c r="DH37" i="3"/>
  <c r="DX36" i="3"/>
  <c r="DF36" i="3"/>
  <c r="DF38" i="3" s="1"/>
  <c r="DH35" i="3"/>
  <c r="DX34" i="3"/>
  <c r="DE34" i="3"/>
  <c r="DX32" i="3"/>
  <c r="DE32" i="3"/>
  <c r="DH31" i="3"/>
  <c r="DX30" i="3"/>
  <c r="DE30" i="3"/>
  <c r="DX28" i="3"/>
  <c r="DE28" i="3"/>
  <c r="DL26" i="3"/>
  <c r="DJ11" i="3"/>
  <c r="DO11" i="3" s="1"/>
  <c r="DT11" i="3" s="1"/>
  <c r="DI11" i="3"/>
  <c r="DN11" i="3" s="1"/>
  <c r="DS11" i="3" s="1"/>
  <c r="DH11" i="3"/>
  <c r="DM11" i="3" s="1"/>
  <c r="DR11" i="3" s="1"/>
  <c r="DG11" i="3"/>
  <c r="DL11" i="3" s="1"/>
  <c r="DQ11" i="3" s="1"/>
  <c r="DF11" i="3"/>
  <c r="DK11" i="3" s="1"/>
  <c r="DP11" i="3" s="1"/>
  <c r="DJ10" i="3"/>
  <c r="DO10" i="3" s="1"/>
  <c r="DT10" i="3" s="1"/>
  <c r="DI10" i="3"/>
  <c r="DN10" i="3" s="1"/>
  <c r="DS10" i="3" s="1"/>
  <c r="DH10" i="3"/>
  <c r="DM10" i="3" s="1"/>
  <c r="DR10" i="3" s="1"/>
  <c r="DG10" i="3"/>
  <c r="DL10" i="3" s="1"/>
  <c r="DQ10" i="3" s="1"/>
  <c r="DF10" i="3"/>
  <c r="DK10" i="3" s="1"/>
  <c r="DP10" i="3" s="1"/>
  <c r="DJ9" i="3"/>
  <c r="DO9" i="3" s="1"/>
  <c r="DT9" i="3" s="1"/>
  <c r="DI9" i="3"/>
  <c r="DN9" i="3" s="1"/>
  <c r="DS9" i="3" s="1"/>
  <c r="DH9" i="3"/>
  <c r="DM9" i="3" s="1"/>
  <c r="DR9" i="3" s="1"/>
  <c r="DG9" i="3"/>
  <c r="DL9" i="3" s="1"/>
  <c r="DQ9" i="3" s="1"/>
  <c r="DF9" i="3"/>
  <c r="DK9" i="3" s="1"/>
  <c r="DP9" i="3" s="1"/>
  <c r="DJ8" i="3"/>
  <c r="DO8" i="3" s="1"/>
  <c r="DT8" i="3" s="1"/>
  <c r="DI8" i="3"/>
  <c r="DN8" i="3" s="1"/>
  <c r="DS8" i="3" s="1"/>
  <c r="DH8" i="3"/>
  <c r="DM8" i="3" s="1"/>
  <c r="DR8" i="3" s="1"/>
  <c r="DG8" i="3"/>
  <c r="DL8" i="3" s="1"/>
  <c r="DQ8" i="3" s="1"/>
  <c r="DF8" i="3"/>
  <c r="DK8" i="3" s="1"/>
  <c r="DP8" i="3" s="1"/>
  <c r="DJ7" i="3"/>
  <c r="DO7" i="3" s="1"/>
  <c r="DT7" i="3" s="1"/>
  <c r="DI7" i="3"/>
  <c r="DN7" i="3" s="1"/>
  <c r="DS7" i="3" s="1"/>
  <c r="DH7" i="3"/>
  <c r="DM7" i="3" s="1"/>
  <c r="DR7" i="3" s="1"/>
  <c r="DG7" i="3"/>
  <c r="DL7" i="3" s="1"/>
  <c r="DQ7" i="3" s="1"/>
  <c r="DF7" i="3"/>
  <c r="DK7" i="3" s="1"/>
  <c r="DP7" i="3" s="1"/>
  <c r="DJ6" i="3"/>
  <c r="DO6" i="3" s="1"/>
  <c r="DT6" i="3" s="1"/>
  <c r="DI6" i="3"/>
  <c r="DN6" i="3" s="1"/>
  <c r="DS6" i="3" s="1"/>
  <c r="DH6" i="3"/>
  <c r="DM6" i="3" s="1"/>
  <c r="DR6" i="3" s="1"/>
  <c r="DG6" i="3"/>
  <c r="DL6" i="3" s="1"/>
  <c r="DQ6" i="3" s="1"/>
  <c r="DF6" i="3"/>
  <c r="DK6" i="3" s="1"/>
  <c r="DP6" i="3" s="1"/>
  <c r="DJ5" i="3"/>
  <c r="DO5" i="3" s="1"/>
  <c r="DT5" i="3" s="1"/>
  <c r="DI5" i="3"/>
  <c r="DN5" i="3" s="1"/>
  <c r="DS5" i="3" s="1"/>
  <c r="DH5" i="3"/>
  <c r="DM5" i="3" s="1"/>
  <c r="DR5" i="3" s="1"/>
  <c r="DG5" i="3"/>
  <c r="DL5" i="3" s="1"/>
  <c r="DQ5" i="3" s="1"/>
  <c r="DF5" i="3"/>
  <c r="DK5" i="3" s="1"/>
  <c r="DP5" i="3" s="1"/>
  <c r="FK14" i="3" l="1"/>
  <c r="FI7" i="3"/>
  <c r="FI136" i="3"/>
  <c r="FI10" i="3"/>
  <c r="GG141" i="3"/>
  <c r="FK11" i="3"/>
  <c r="FM14" i="3"/>
  <c r="FJ7" i="3"/>
  <c r="ES75" i="3"/>
  <c r="FM6" i="3"/>
  <c r="FH11" i="3"/>
  <c r="FJ11" i="3"/>
  <c r="FM7" i="3"/>
  <c r="FL10" i="3"/>
  <c r="GS137" i="3"/>
  <c r="GT137" i="3" s="1"/>
  <c r="FJ6" i="3"/>
  <c r="FI16" i="3"/>
  <c r="FH8" i="3"/>
  <c r="GF141" i="3"/>
  <c r="FL11" i="3"/>
  <c r="FJ14" i="3"/>
  <c r="ES74" i="3"/>
  <c r="FH10" i="3"/>
  <c r="FM10" i="3"/>
  <c r="FK6" i="3"/>
  <c r="FJ5" i="3"/>
  <c r="FH5" i="3"/>
  <c r="GD141" i="3"/>
  <c r="FH6" i="3"/>
  <c r="FH9" i="3"/>
  <c r="FH7" i="3"/>
  <c r="FH14" i="3"/>
  <c r="FH13" i="3"/>
  <c r="ER136" i="3"/>
  <c r="ES136" i="3" s="1"/>
  <c r="FL5" i="3"/>
  <c r="FH12" i="3"/>
  <c r="DQ135" i="3"/>
  <c r="EA135" i="3" s="1"/>
  <c r="FF136" i="3"/>
  <c r="DI136" i="3"/>
  <c r="FM5" i="3"/>
  <c r="FH136" i="3"/>
  <c r="FM11" i="3"/>
  <c r="FI14" i="3"/>
  <c r="FK7" i="3"/>
  <c r="FJ10" i="3"/>
  <c r="FI6" i="3"/>
  <c r="ES80" i="3"/>
  <c r="FH15" i="3"/>
  <c r="DF71" i="3"/>
  <c r="DH71" i="3"/>
  <c r="DH75" i="3"/>
  <c r="DH79" i="3"/>
  <c r="DH72" i="3"/>
  <c r="DH76" i="3"/>
  <c r="DH80" i="3"/>
  <c r="DH73" i="3"/>
  <c r="DH77" i="3"/>
  <c r="DH69" i="3"/>
  <c r="DH70" i="3"/>
  <c r="DH74" i="3"/>
  <c r="DH78" i="3"/>
  <c r="FJ136" i="3"/>
  <c r="FI11" i="3"/>
  <c r="ES78" i="3"/>
  <c r="FL14" i="3"/>
  <c r="ES71" i="3"/>
  <c r="FL7" i="3"/>
  <c r="FK10" i="3"/>
  <c r="GH141" i="3"/>
  <c r="ES70" i="3"/>
  <c r="FL6" i="3"/>
  <c r="FI5" i="3"/>
  <c r="FJ16" i="3"/>
  <c r="FM16" i="3"/>
  <c r="FK15" i="3"/>
  <c r="FS141" i="3"/>
  <c r="FL13" i="3"/>
  <c r="ES76" i="3"/>
  <c r="FL12" i="3"/>
  <c r="EW137" i="3"/>
  <c r="FG137" i="3" s="1"/>
  <c r="FJ9" i="3"/>
  <c r="FM9" i="3"/>
  <c r="FI8" i="3"/>
  <c r="ES79" i="3"/>
  <c r="FJ15" i="3"/>
  <c r="ES77" i="3"/>
  <c r="FK13" i="3"/>
  <c r="FK12" i="3"/>
  <c r="FL9" i="3"/>
  <c r="ES72" i="3"/>
  <c r="FL8" i="3"/>
  <c r="FH16" i="3"/>
  <c r="FK16" i="3"/>
  <c r="FL15" i="3"/>
  <c r="FI13" i="3"/>
  <c r="FI12" i="3"/>
  <c r="FM12" i="3"/>
  <c r="EV138" i="3"/>
  <c r="EV139" i="3" s="1"/>
  <c r="EX138" i="3"/>
  <c r="EX139" i="3" s="1"/>
  <c r="EY138" i="3"/>
  <c r="EY139" i="3" s="1"/>
  <c r="EZ138" i="3"/>
  <c r="EZ139" i="3" s="1"/>
  <c r="ES73" i="3"/>
  <c r="FK9" i="3"/>
  <c r="FK8" i="3"/>
  <c r="GE139" i="3"/>
  <c r="GO138" i="3"/>
  <c r="GS138" i="3" s="1"/>
  <c r="GT138" i="3" s="1"/>
  <c r="FK5" i="3"/>
  <c r="FL16" i="3"/>
  <c r="FI15" i="3"/>
  <c r="FM15" i="3"/>
  <c r="FJ13" i="3"/>
  <c r="FM13" i="3"/>
  <c r="FJ12" i="3"/>
  <c r="C343" i="3"/>
  <c r="D344" i="3"/>
  <c r="EK137" i="3"/>
  <c r="ER137" i="3" s="1"/>
  <c r="ES137" i="3" s="1"/>
  <c r="FI9" i="3"/>
  <c r="FJ8" i="3"/>
  <c r="FM8" i="3"/>
  <c r="B391" i="3"/>
  <c r="A390" i="3"/>
  <c r="GN139" i="3"/>
  <c r="FQ140" i="3"/>
  <c r="FZ140" i="3"/>
  <c r="GA140" i="3" s="1"/>
  <c r="GQ140" i="3"/>
  <c r="FV48" i="3"/>
  <c r="FU46" i="3"/>
  <c r="GP139" i="3"/>
  <c r="FR77" i="3"/>
  <c r="FQ76" i="3"/>
  <c r="GR139" i="3"/>
  <c r="FV142" i="3"/>
  <c r="FW143" i="3"/>
  <c r="FX142" i="3"/>
  <c r="FY142" i="3" s="1"/>
  <c r="EJ75" i="3"/>
  <c r="EI74" i="3"/>
  <c r="FH137" i="3"/>
  <c r="FI137" i="3"/>
  <c r="FJ137" i="3"/>
  <c r="EO141" i="3"/>
  <c r="EP140" i="3"/>
  <c r="EQ140" i="3" s="1"/>
  <c r="EN140" i="3"/>
  <c r="EN44" i="3"/>
  <c r="EM42" i="3"/>
  <c r="FF137" i="3"/>
  <c r="DP135" i="3"/>
  <c r="DZ135" i="3" s="1"/>
  <c r="DR135" i="3"/>
  <c r="EB135" i="3" s="1"/>
  <c r="DC135" i="3"/>
  <c r="DO135" i="3"/>
  <c r="DY135" i="3" s="1"/>
  <c r="DN135" i="3"/>
  <c r="DX135" i="3" s="1"/>
  <c r="DF70" i="3"/>
  <c r="DF74" i="3"/>
  <c r="DF78" i="3"/>
  <c r="DF72" i="3"/>
  <c r="DF76" i="3"/>
  <c r="DF80" i="3"/>
  <c r="DF73" i="3"/>
  <c r="DF77" i="3"/>
  <c r="DF69" i="3"/>
  <c r="DF79" i="3"/>
  <c r="DF75" i="3"/>
  <c r="DB72" i="3"/>
  <c r="DB73" i="3" s="1"/>
  <c r="DB74" i="3" s="1"/>
  <c r="DF137" i="3"/>
  <c r="DF138" i="3"/>
  <c r="DG139" i="3"/>
  <c r="DH138" i="3"/>
  <c r="DJ135" i="3"/>
  <c r="DK135" i="3" s="1"/>
  <c r="DH137" i="3"/>
  <c r="DI137" i="3" s="1"/>
  <c r="DG73" i="3"/>
  <c r="DG72" i="3"/>
  <c r="DG71" i="3"/>
  <c r="DG75" i="3"/>
  <c r="DF40" i="3"/>
  <c r="DE38" i="3"/>
  <c r="DE36" i="3"/>
  <c r="E28" i="3"/>
  <c r="E30" i="3"/>
  <c r="E32" i="3"/>
  <c r="E34" i="3"/>
  <c r="B314" i="3"/>
  <c r="A314" i="3" s="1"/>
  <c r="A313" i="3"/>
  <c r="A312" i="3"/>
  <c r="EW138" i="3" l="1"/>
  <c r="EW139" i="3" s="1"/>
  <c r="DP136" i="3"/>
  <c r="DP137" i="3" s="1"/>
  <c r="GD142" i="3"/>
  <c r="FG138" i="3"/>
  <c r="FK136" i="3"/>
  <c r="FL136" i="3" s="1"/>
  <c r="DQ136" i="3"/>
  <c r="EA136" i="3" s="1"/>
  <c r="DO136" i="3"/>
  <c r="DY136" i="3" s="1"/>
  <c r="DC136" i="3"/>
  <c r="DC137" i="3" s="1"/>
  <c r="DJ137" i="3" s="1"/>
  <c r="DK137" i="3" s="1"/>
  <c r="GF142" i="3"/>
  <c r="GG142" i="3"/>
  <c r="DA73" i="3"/>
  <c r="DR136" i="3"/>
  <c r="EB136" i="3" s="1"/>
  <c r="GH142" i="3"/>
  <c r="DA72" i="3"/>
  <c r="FS142" i="3"/>
  <c r="DN136" i="3"/>
  <c r="DN137" i="3" s="1"/>
  <c r="D345" i="3"/>
  <c r="C344" i="3"/>
  <c r="FR142" i="3"/>
  <c r="FZ141" i="3"/>
  <c r="GA141" i="3" s="1"/>
  <c r="DX10" i="3"/>
  <c r="DY10" i="3"/>
  <c r="DV10" i="3"/>
  <c r="DW10" i="3"/>
  <c r="DW9" i="3"/>
  <c r="DX9" i="3"/>
  <c r="DY9" i="3"/>
  <c r="DV9" i="3"/>
  <c r="DX15" i="3"/>
  <c r="DY15" i="3"/>
  <c r="DV15" i="3"/>
  <c r="DW15" i="3"/>
  <c r="EZ140" i="3"/>
  <c r="EW140" i="3"/>
  <c r="EX140" i="3"/>
  <c r="EY140" i="3"/>
  <c r="EV140" i="3"/>
  <c r="GE140" i="3"/>
  <c r="GO139" i="3"/>
  <c r="GS139" i="3" s="1"/>
  <c r="GT139" i="3" s="1"/>
  <c r="FR141" i="3"/>
  <c r="FQ141" i="3" s="1"/>
  <c r="DX6" i="3"/>
  <c r="DY6" i="3"/>
  <c r="DV6" i="3"/>
  <c r="DW6" i="3"/>
  <c r="DX16" i="3"/>
  <c r="DY16" i="3"/>
  <c r="DV16" i="3"/>
  <c r="DW16" i="3"/>
  <c r="DX11" i="3"/>
  <c r="DY11" i="3"/>
  <c r="DV11" i="3"/>
  <c r="DW11" i="3"/>
  <c r="EK138" i="3"/>
  <c r="EJ137" i="3"/>
  <c r="EI137" i="3" s="1"/>
  <c r="DX5" i="3"/>
  <c r="DY5" i="3"/>
  <c r="DV5" i="3"/>
  <c r="DW5" i="3"/>
  <c r="DX12" i="3"/>
  <c r="DY12" i="3"/>
  <c r="DV12" i="3"/>
  <c r="DW12" i="3"/>
  <c r="DX7" i="3"/>
  <c r="DY7" i="3"/>
  <c r="DV7" i="3"/>
  <c r="DW7" i="3"/>
  <c r="DX14" i="3"/>
  <c r="DY14" i="3"/>
  <c r="DV14" i="3"/>
  <c r="DW14" i="3"/>
  <c r="DX13" i="3"/>
  <c r="DY13" i="3"/>
  <c r="DV13" i="3"/>
  <c r="DW13" i="3"/>
  <c r="DX8" i="3"/>
  <c r="DY8" i="3"/>
  <c r="DV8" i="3"/>
  <c r="DW8" i="3"/>
  <c r="A391" i="3"/>
  <c r="B392" i="3"/>
  <c r="GP140" i="3"/>
  <c r="GN140" i="3"/>
  <c r="FZ142" i="3"/>
  <c r="GA142" i="3" s="1"/>
  <c r="FQ142" i="3"/>
  <c r="GR140" i="3"/>
  <c r="FV143" i="3"/>
  <c r="FW144" i="3"/>
  <c r="FX143" i="3"/>
  <c r="FY143" i="3" s="1"/>
  <c r="FR78" i="3"/>
  <c r="FQ77" i="3"/>
  <c r="FV50" i="3"/>
  <c r="FU50" i="3" s="1"/>
  <c r="FU48" i="3"/>
  <c r="GQ141" i="3"/>
  <c r="FG139" i="3"/>
  <c r="FI138" i="3"/>
  <c r="EJ76" i="3"/>
  <c r="EI75" i="3"/>
  <c r="FF138" i="3"/>
  <c r="EN46" i="3"/>
  <c r="EM44" i="3"/>
  <c r="FK137" i="3"/>
  <c r="FL137" i="3" s="1"/>
  <c r="EO142" i="3"/>
  <c r="EP141" i="3"/>
  <c r="EQ141" i="3" s="1"/>
  <c r="EN141" i="3"/>
  <c r="FJ138" i="3"/>
  <c r="FH138" i="3"/>
  <c r="DO137" i="3"/>
  <c r="DY137" i="3" s="1"/>
  <c r="DE40" i="3"/>
  <c r="DF42" i="3"/>
  <c r="EC135" i="3"/>
  <c r="ED135" i="3" s="1"/>
  <c r="DG140" i="3"/>
  <c r="DH139" i="3"/>
  <c r="DI139" i="3" s="1"/>
  <c r="DF139" i="3"/>
  <c r="DI138" i="3"/>
  <c r="DA74" i="3"/>
  <c r="DB75" i="3"/>
  <c r="B315" i="3"/>
  <c r="AP74" i="3"/>
  <c r="AP73" i="3"/>
  <c r="AP71" i="3"/>
  <c r="AJ71" i="3"/>
  <c r="AJ70" i="3"/>
  <c r="AP69" i="3"/>
  <c r="AJ69" i="3"/>
  <c r="AQ37" i="3"/>
  <c r="AQ29" i="3"/>
  <c r="AQ73" i="3"/>
  <c r="AS10" i="3"/>
  <c r="AX10" i="3" s="1"/>
  <c r="BC10" i="3" s="1"/>
  <c r="AR10" i="3"/>
  <c r="AW10" i="3" s="1"/>
  <c r="BB10" i="3" s="1"/>
  <c r="AQ10" i="3"/>
  <c r="AV10" i="3" s="1"/>
  <c r="BA10" i="3" s="1"/>
  <c r="AP10" i="3"/>
  <c r="AU10" i="3" s="1"/>
  <c r="AZ10" i="3" s="1"/>
  <c r="AO10" i="3"/>
  <c r="AT10" i="3" s="1"/>
  <c r="AY10" i="3" s="1"/>
  <c r="AS9" i="3"/>
  <c r="AX9" i="3" s="1"/>
  <c r="BC9" i="3" s="1"/>
  <c r="AR9" i="3"/>
  <c r="AW9" i="3" s="1"/>
  <c r="BB9" i="3" s="1"/>
  <c r="AQ9" i="3"/>
  <c r="AV9" i="3" s="1"/>
  <c r="BA9" i="3" s="1"/>
  <c r="AP9" i="3"/>
  <c r="AU9" i="3" s="1"/>
  <c r="AZ9" i="3" s="1"/>
  <c r="AO9" i="3"/>
  <c r="AT9" i="3" s="1"/>
  <c r="AY9" i="3" s="1"/>
  <c r="AS8" i="3"/>
  <c r="AX8" i="3" s="1"/>
  <c r="BC8" i="3" s="1"/>
  <c r="AR8" i="3"/>
  <c r="AW8" i="3" s="1"/>
  <c r="BB8" i="3" s="1"/>
  <c r="AQ8" i="3"/>
  <c r="AV8" i="3" s="1"/>
  <c r="BA8" i="3" s="1"/>
  <c r="AP8" i="3"/>
  <c r="AU8" i="3" s="1"/>
  <c r="AZ8" i="3" s="1"/>
  <c r="AO8" i="3"/>
  <c r="AT8" i="3" s="1"/>
  <c r="AY8" i="3" s="1"/>
  <c r="AS7" i="3"/>
  <c r="AX7" i="3" s="1"/>
  <c r="BC7" i="3" s="1"/>
  <c r="AR7" i="3"/>
  <c r="AW7" i="3" s="1"/>
  <c r="BB7" i="3" s="1"/>
  <c r="AQ7" i="3"/>
  <c r="AV7" i="3" s="1"/>
  <c r="BA7" i="3" s="1"/>
  <c r="AP7" i="3"/>
  <c r="AU7" i="3" s="1"/>
  <c r="AZ7" i="3" s="1"/>
  <c r="AO7" i="3"/>
  <c r="AT7" i="3" s="1"/>
  <c r="AY7" i="3" s="1"/>
  <c r="AS6" i="3"/>
  <c r="AX6" i="3" s="1"/>
  <c r="BC6" i="3" s="1"/>
  <c r="AR6" i="3"/>
  <c r="AW6" i="3" s="1"/>
  <c r="BB6" i="3" s="1"/>
  <c r="AQ6" i="3"/>
  <c r="AV6" i="3" s="1"/>
  <c r="BA6" i="3" s="1"/>
  <c r="AP6" i="3"/>
  <c r="AU6" i="3" s="1"/>
  <c r="AZ6" i="3" s="1"/>
  <c r="AO6" i="3"/>
  <c r="AT6" i="3" s="1"/>
  <c r="AY6" i="3" s="1"/>
  <c r="AS5" i="3"/>
  <c r="AX5" i="3" s="1"/>
  <c r="BC5" i="3" s="1"/>
  <c r="AR5" i="3"/>
  <c r="AW5" i="3" s="1"/>
  <c r="BB5" i="3" s="1"/>
  <c r="AQ5" i="3"/>
  <c r="AV5" i="3" s="1"/>
  <c r="BA5" i="3" s="1"/>
  <c r="AP5" i="3"/>
  <c r="AU5" i="3" s="1"/>
  <c r="AZ5" i="3" s="1"/>
  <c r="AO5" i="3"/>
  <c r="AT5" i="3" s="1"/>
  <c r="AY5" i="3" s="1"/>
  <c r="AQ41" i="3"/>
  <c r="AQ39" i="3"/>
  <c r="AO36" i="3"/>
  <c r="AQ35" i="3"/>
  <c r="AQ33" i="3"/>
  <c r="AQ31" i="3"/>
  <c r="AU26" i="3"/>
  <c r="GD143" i="3" l="1"/>
  <c r="BF9" i="3"/>
  <c r="BG9" i="3"/>
  <c r="BD9" i="3"/>
  <c r="BH9" i="3"/>
  <c r="BE9" i="3"/>
  <c r="DQ137" i="3"/>
  <c r="DZ136" i="3"/>
  <c r="DX136" i="3"/>
  <c r="DR137" i="3"/>
  <c r="EB137" i="3" s="1"/>
  <c r="AO38" i="3"/>
  <c r="AN38" i="3" s="1"/>
  <c r="AN36" i="3"/>
  <c r="DB137" i="3"/>
  <c r="DA137" i="3" s="1"/>
  <c r="DB136" i="3"/>
  <c r="DA136" i="3" s="1"/>
  <c r="DJ136" i="3"/>
  <c r="DK136" i="3" s="1"/>
  <c r="AO70" i="3"/>
  <c r="H335" i="3"/>
  <c r="M335" i="3" s="1"/>
  <c r="N335" i="3" s="1"/>
  <c r="EK139" i="3"/>
  <c r="EJ138" i="3"/>
  <c r="EI138" i="3" s="1"/>
  <c r="ER138" i="3"/>
  <c r="ES138" i="3" s="1"/>
  <c r="GE141" i="3"/>
  <c r="GO140" i="3"/>
  <c r="GS140" i="3" s="1"/>
  <c r="GT140" i="3" s="1"/>
  <c r="EV141" i="3"/>
  <c r="EW141" i="3"/>
  <c r="EX141" i="3"/>
  <c r="EY141" i="3"/>
  <c r="EZ141" i="3"/>
  <c r="GH143" i="3"/>
  <c r="GF143" i="3"/>
  <c r="GG143" i="3"/>
  <c r="C345" i="3"/>
  <c r="D346" i="3"/>
  <c r="FS143" i="3"/>
  <c r="FZ143" i="3" s="1"/>
  <c r="GA143" i="3" s="1"/>
  <c r="B393" i="3"/>
  <c r="A392" i="3"/>
  <c r="GR141" i="3"/>
  <c r="FW145" i="3"/>
  <c r="FX144" i="3"/>
  <c r="FY144" i="3" s="1"/>
  <c r="GD144" i="3" s="1"/>
  <c r="FV144" i="3"/>
  <c r="GP141" i="3"/>
  <c r="FQ78" i="3"/>
  <c r="FR79" i="3"/>
  <c r="GN141" i="3"/>
  <c r="GQ142" i="3"/>
  <c r="FF139" i="3"/>
  <c r="EM46" i="3"/>
  <c r="EN48" i="3"/>
  <c r="FG140" i="3"/>
  <c r="FK138" i="3"/>
  <c r="FL138" i="3" s="1"/>
  <c r="FI139" i="3"/>
  <c r="EN142" i="3"/>
  <c r="EO143" i="3"/>
  <c r="EP142" i="3"/>
  <c r="EQ142" i="3" s="1"/>
  <c r="FH139" i="3"/>
  <c r="FJ139" i="3"/>
  <c r="EI76" i="3"/>
  <c r="EJ77" i="3"/>
  <c r="AQ71" i="3"/>
  <c r="DE42" i="3"/>
  <c r="DF44" i="3"/>
  <c r="AO73" i="3"/>
  <c r="H336" i="3"/>
  <c r="M336" i="3" s="1"/>
  <c r="N336" i="3" s="1"/>
  <c r="AO72" i="3"/>
  <c r="DB135" i="3"/>
  <c r="DA135" i="3" s="1"/>
  <c r="DA75" i="3"/>
  <c r="DB76" i="3"/>
  <c r="DO138" i="3"/>
  <c r="DO139" i="3" s="1"/>
  <c r="DN138" i="3"/>
  <c r="DN139" i="3" s="1"/>
  <c r="DP138" i="3"/>
  <c r="DP139" i="3" s="1"/>
  <c r="DQ138" i="3"/>
  <c r="DQ139" i="3" s="1"/>
  <c r="DC138" i="3"/>
  <c r="DC139" i="3" s="1"/>
  <c r="DZ137" i="3"/>
  <c r="DG141" i="3"/>
  <c r="DG142" i="3" s="1"/>
  <c r="DH140" i="3"/>
  <c r="DI140" i="3" s="1"/>
  <c r="DF140" i="3"/>
  <c r="EA137" i="3"/>
  <c r="EC136" i="3"/>
  <c r="ED136" i="3" s="1"/>
  <c r="DX137" i="3"/>
  <c r="EF137" i="3" s="1"/>
  <c r="AO74" i="3"/>
  <c r="AQ69" i="3"/>
  <c r="AQ72" i="3"/>
  <c r="AP70" i="3"/>
  <c r="AR73" i="3"/>
  <c r="AO69" i="3"/>
  <c r="AO71" i="3"/>
  <c r="AP72" i="3"/>
  <c r="AQ74" i="3"/>
  <c r="AQ70" i="3"/>
  <c r="H337" i="3"/>
  <c r="M337" i="3" s="1"/>
  <c r="N337" i="3" s="1"/>
  <c r="B316" i="3"/>
  <c r="A315" i="3"/>
  <c r="AJ72" i="3"/>
  <c r="AO40" i="3"/>
  <c r="AN40" i="3" s="1"/>
  <c r="L26" i="3"/>
  <c r="G137" i="3"/>
  <c r="H137" i="3" s="1"/>
  <c r="H136" i="3"/>
  <c r="F136" i="3"/>
  <c r="H135" i="3"/>
  <c r="I135" i="3" s="1"/>
  <c r="F135" i="3"/>
  <c r="Q21" i="3"/>
  <c r="R21" i="3"/>
  <c r="S21" i="3"/>
  <c r="T21" i="3"/>
  <c r="P21" i="3"/>
  <c r="D77" i="3"/>
  <c r="E77" i="3" s="1"/>
  <c r="D78" i="3"/>
  <c r="E78" i="3" s="1"/>
  <c r="D79" i="3"/>
  <c r="E79" i="3" s="1"/>
  <c r="D80" i="3"/>
  <c r="D81" i="3"/>
  <c r="E81" i="3" s="1"/>
  <c r="D82" i="3"/>
  <c r="E82" i="3" s="1"/>
  <c r="D83" i="3"/>
  <c r="E83" i="3" s="1"/>
  <c r="D84" i="3"/>
  <c r="D85" i="3"/>
  <c r="B71" i="3"/>
  <c r="B72" i="3" s="1"/>
  <c r="A70" i="3"/>
  <c r="A69" i="3"/>
  <c r="V28" i="3"/>
  <c r="V30" i="3"/>
  <c r="V32" i="3"/>
  <c r="V34" i="3"/>
  <c r="V36" i="3"/>
  <c r="D76" i="3"/>
  <c r="E76" i="3" s="1"/>
  <c r="D75" i="3"/>
  <c r="E75" i="3" s="1"/>
  <c r="D74" i="3"/>
  <c r="E74" i="3" s="1"/>
  <c r="D73" i="3"/>
  <c r="E73" i="3" s="1"/>
  <c r="D72" i="3"/>
  <c r="D71" i="3"/>
  <c r="E71" i="3" s="1"/>
  <c r="D70" i="3"/>
  <c r="E70" i="3" s="1"/>
  <c r="D69" i="3"/>
  <c r="E69" i="3" s="1"/>
  <c r="F12" i="3"/>
  <c r="K12" i="3" s="1"/>
  <c r="P12" i="3" s="1"/>
  <c r="G12" i="3"/>
  <c r="L12" i="3" s="1"/>
  <c r="Q12" i="3" s="1"/>
  <c r="H12" i="3"/>
  <c r="M12" i="3" s="1"/>
  <c r="R12" i="3" s="1"/>
  <c r="I12" i="3"/>
  <c r="N12" i="3" s="1"/>
  <c r="S12" i="3" s="1"/>
  <c r="J12" i="3"/>
  <c r="O12" i="3" s="1"/>
  <c r="T12" i="3" s="1"/>
  <c r="F13" i="3"/>
  <c r="K13" i="3" s="1"/>
  <c r="P13" i="3" s="1"/>
  <c r="G13" i="3"/>
  <c r="L13" i="3" s="1"/>
  <c r="Q13" i="3" s="1"/>
  <c r="H13" i="3"/>
  <c r="M13" i="3" s="1"/>
  <c r="R13" i="3" s="1"/>
  <c r="I13" i="3"/>
  <c r="N13" i="3" s="1"/>
  <c r="S13" i="3" s="1"/>
  <c r="J13" i="3"/>
  <c r="O13" i="3" s="1"/>
  <c r="T13" i="3" s="1"/>
  <c r="F14" i="3"/>
  <c r="K14" i="3" s="1"/>
  <c r="P14" i="3" s="1"/>
  <c r="G14" i="3"/>
  <c r="L14" i="3" s="1"/>
  <c r="Q14" i="3" s="1"/>
  <c r="H14" i="3"/>
  <c r="M14" i="3" s="1"/>
  <c r="R14" i="3" s="1"/>
  <c r="I14" i="3"/>
  <c r="N14" i="3" s="1"/>
  <c r="S14" i="3" s="1"/>
  <c r="J14" i="3"/>
  <c r="O14" i="3" s="1"/>
  <c r="T14" i="3" s="1"/>
  <c r="F15" i="3"/>
  <c r="K15" i="3" s="1"/>
  <c r="P15" i="3" s="1"/>
  <c r="G15" i="3"/>
  <c r="L15" i="3" s="1"/>
  <c r="Q15" i="3" s="1"/>
  <c r="H15" i="3"/>
  <c r="M15" i="3" s="1"/>
  <c r="R15" i="3" s="1"/>
  <c r="I15" i="3"/>
  <c r="N15" i="3" s="1"/>
  <c r="S15" i="3" s="1"/>
  <c r="J15" i="3"/>
  <c r="O15" i="3" s="1"/>
  <c r="T15" i="3" s="1"/>
  <c r="F16" i="3"/>
  <c r="K16" i="3" s="1"/>
  <c r="P16" i="3" s="1"/>
  <c r="G16" i="3"/>
  <c r="L16" i="3" s="1"/>
  <c r="Q16" i="3" s="1"/>
  <c r="H16" i="3"/>
  <c r="M16" i="3" s="1"/>
  <c r="R16" i="3" s="1"/>
  <c r="I16" i="3"/>
  <c r="N16" i="3" s="1"/>
  <c r="S16" i="3" s="1"/>
  <c r="J16" i="3"/>
  <c r="O16" i="3" s="1"/>
  <c r="T16" i="3" s="1"/>
  <c r="F17" i="3"/>
  <c r="K17" i="3" s="1"/>
  <c r="P17" i="3" s="1"/>
  <c r="G17" i="3"/>
  <c r="L17" i="3" s="1"/>
  <c r="Q17" i="3" s="1"/>
  <c r="H17" i="3"/>
  <c r="M17" i="3" s="1"/>
  <c r="R17" i="3" s="1"/>
  <c r="I17" i="3"/>
  <c r="N17" i="3" s="1"/>
  <c r="S17" i="3" s="1"/>
  <c r="J17" i="3"/>
  <c r="O17" i="3" s="1"/>
  <c r="T17" i="3" s="1"/>
  <c r="F18" i="3"/>
  <c r="K18" i="3" s="1"/>
  <c r="P18" i="3" s="1"/>
  <c r="G18" i="3"/>
  <c r="L18" i="3" s="1"/>
  <c r="Q18" i="3" s="1"/>
  <c r="H18" i="3"/>
  <c r="M18" i="3" s="1"/>
  <c r="R18" i="3" s="1"/>
  <c r="I18" i="3"/>
  <c r="N18" i="3" s="1"/>
  <c r="S18" i="3" s="1"/>
  <c r="J18" i="3"/>
  <c r="O18" i="3" s="1"/>
  <c r="T18" i="3" s="1"/>
  <c r="F19" i="3"/>
  <c r="K19" i="3" s="1"/>
  <c r="P19" i="3" s="1"/>
  <c r="G19" i="3"/>
  <c r="L19" i="3" s="1"/>
  <c r="Q19" i="3" s="1"/>
  <c r="H19" i="3"/>
  <c r="M19" i="3" s="1"/>
  <c r="R19" i="3" s="1"/>
  <c r="I19" i="3"/>
  <c r="N19" i="3" s="1"/>
  <c r="S19" i="3" s="1"/>
  <c r="J19" i="3"/>
  <c r="O19" i="3" s="1"/>
  <c r="T19" i="3" s="1"/>
  <c r="F20" i="3"/>
  <c r="K20" i="3" s="1"/>
  <c r="P20" i="3" s="1"/>
  <c r="G20" i="3"/>
  <c r="L20" i="3" s="1"/>
  <c r="Q20" i="3" s="1"/>
  <c r="H20" i="3"/>
  <c r="M20" i="3" s="1"/>
  <c r="R20" i="3" s="1"/>
  <c r="I20" i="3"/>
  <c r="N20" i="3" s="1"/>
  <c r="S20" i="3" s="1"/>
  <c r="J20" i="3"/>
  <c r="O20" i="3" s="1"/>
  <c r="T20" i="3" s="1"/>
  <c r="F21" i="3"/>
  <c r="G21" i="3"/>
  <c r="H21" i="3"/>
  <c r="I21" i="3"/>
  <c r="J21" i="3"/>
  <c r="H63" i="3"/>
  <c r="V60" i="3"/>
  <c r="V58" i="3"/>
  <c r="V56" i="3"/>
  <c r="V54" i="3"/>
  <c r="V52" i="3"/>
  <c r="V50" i="3"/>
  <c r="V48" i="3"/>
  <c r="V46" i="3"/>
  <c r="V44" i="3"/>
  <c r="H59" i="3"/>
  <c r="H57" i="3"/>
  <c r="H55" i="3"/>
  <c r="H53" i="3"/>
  <c r="H51" i="3"/>
  <c r="H61" i="3"/>
  <c r="H49" i="3"/>
  <c r="H47" i="3"/>
  <c r="H43" i="3"/>
  <c r="H41" i="3"/>
  <c r="H37" i="3"/>
  <c r="H39" i="3"/>
  <c r="H35" i="3"/>
  <c r="H33" i="3"/>
  <c r="H29" i="3"/>
  <c r="C27" i="3"/>
  <c r="CW135" i="3" l="1"/>
  <c r="CW136" i="3"/>
  <c r="CX136" i="3"/>
  <c r="CX135" i="3"/>
  <c r="CW137" i="3"/>
  <c r="CY137" i="3" s="1"/>
  <c r="CX137" i="3"/>
  <c r="CW138" i="3"/>
  <c r="CX138" i="3"/>
  <c r="CY138" i="3" s="1"/>
  <c r="CW139" i="3"/>
  <c r="CY139" i="3" s="1"/>
  <c r="CX139" i="3"/>
  <c r="CX140" i="3"/>
  <c r="CW140" i="3"/>
  <c r="CY140" i="3" s="1"/>
  <c r="CW141" i="3"/>
  <c r="CY141" i="3" s="1"/>
  <c r="CX141" i="3"/>
  <c r="EF135" i="3"/>
  <c r="EG135" i="3"/>
  <c r="EH135" i="3" s="1"/>
  <c r="EF136" i="3"/>
  <c r="EG136" i="3"/>
  <c r="EG137" i="3"/>
  <c r="EH137" i="3" s="1"/>
  <c r="BG6" i="3"/>
  <c r="BD6" i="3"/>
  <c r="BH6" i="3"/>
  <c r="BE6" i="3"/>
  <c r="BF6" i="3"/>
  <c r="BF5" i="3"/>
  <c r="BG5" i="3"/>
  <c r="BD5" i="3"/>
  <c r="BH5" i="3"/>
  <c r="BE5" i="3"/>
  <c r="BG10" i="3"/>
  <c r="BD10" i="3"/>
  <c r="BH10" i="3"/>
  <c r="BE10" i="3"/>
  <c r="BF10" i="3"/>
  <c r="BD7" i="3"/>
  <c r="BH7" i="3"/>
  <c r="BE7" i="3"/>
  <c r="BF7" i="3"/>
  <c r="BG7" i="3"/>
  <c r="BI9" i="3"/>
  <c r="BE8" i="3"/>
  <c r="BF8" i="3"/>
  <c r="BG8" i="3"/>
  <c r="BD8" i="3"/>
  <c r="BH8" i="3"/>
  <c r="DY138" i="3"/>
  <c r="EG138" i="3" s="1"/>
  <c r="DB138" i="3"/>
  <c r="DA138" i="3" s="1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K179" i="3"/>
  <c r="AK180" i="3"/>
  <c r="AK181" i="3"/>
  <c r="AK182" i="3"/>
  <c r="AK184" i="3"/>
  <c r="AK188" i="3"/>
  <c r="AK195" i="3"/>
  <c r="AK199" i="3"/>
  <c r="AK203" i="3"/>
  <c r="AK185" i="3"/>
  <c r="AK189" i="3"/>
  <c r="AK196" i="3"/>
  <c r="AU196" i="3" s="1"/>
  <c r="AK200" i="3"/>
  <c r="AK204" i="3"/>
  <c r="AK186" i="3"/>
  <c r="AK190" i="3"/>
  <c r="AK197" i="3"/>
  <c r="AK201" i="3"/>
  <c r="AK205" i="3"/>
  <c r="AK183" i="3"/>
  <c r="AK187" i="3"/>
  <c r="AK194" i="3"/>
  <c r="AK198" i="3"/>
  <c r="AK202" i="3"/>
  <c r="DR138" i="3"/>
  <c r="AR69" i="3"/>
  <c r="BJ5" i="3" s="1"/>
  <c r="AR71" i="3"/>
  <c r="GH144" i="3"/>
  <c r="FS144" i="3"/>
  <c r="FR144" i="3" s="1"/>
  <c r="FQ144" i="3" s="1"/>
  <c r="GF144" i="3"/>
  <c r="A335" i="3"/>
  <c r="F335" i="3" s="1"/>
  <c r="G335" i="3" s="1"/>
  <c r="GG144" i="3"/>
  <c r="EK140" i="3"/>
  <c r="EJ139" i="3"/>
  <c r="EI139" i="3" s="1"/>
  <c r="ER139" i="3"/>
  <c r="ES139" i="3" s="1"/>
  <c r="GE142" i="3"/>
  <c r="GO141" i="3"/>
  <c r="GS141" i="3" s="1"/>
  <c r="GT141" i="3" s="1"/>
  <c r="M185" i="3"/>
  <c r="AO203" i="3"/>
  <c r="AO199" i="3"/>
  <c r="AO195" i="3"/>
  <c r="AO202" i="3"/>
  <c r="AO198" i="3"/>
  <c r="AO205" i="3"/>
  <c r="AO201" i="3"/>
  <c r="AO197" i="3"/>
  <c r="AO204" i="3"/>
  <c r="AO200" i="3"/>
  <c r="AO196" i="3"/>
  <c r="AO194" i="3"/>
  <c r="AO182" i="3"/>
  <c r="AO185" i="3"/>
  <c r="AO181" i="3"/>
  <c r="AO188" i="3"/>
  <c r="AU188" i="3" s="1"/>
  <c r="AO180" i="3"/>
  <c r="AO184" i="3"/>
  <c r="AO187" i="3"/>
  <c r="AO183" i="3"/>
  <c r="AO179" i="3"/>
  <c r="AO190" i="3"/>
  <c r="AO186" i="3"/>
  <c r="AO189" i="3"/>
  <c r="P191" i="3"/>
  <c r="Y200" i="3"/>
  <c r="Y196" i="3"/>
  <c r="AB193" i="3"/>
  <c r="Z191" i="3"/>
  <c r="AB200" i="3"/>
  <c r="Y199" i="3"/>
  <c r="Z198" i="3"/>
  <c r="AB196" i="3"/>
  <c r="Z194" i="3"/>
  <c r="AC191" i="3"/>
  <c r="AA189" i="3"/>
  <c r="AB199" i="3"/>
  <c r="Z197" i="3"/>
  <c r="AC194" i="3"/>
  <c r="AB191" i="3"/>
  <c r="Z189" i="3"/>
  <c r="AC199" i="3"/>
  <c r="AA197" i="3"/>
  <c r="Y195" i="3"/>
  <c r="AB192" i="3"/>
  <c r="AC198" i="3"/>
  <c r="AA196" i="3"/>
  <c r="Z193" i="3"/>
  <c r="AC190" i="3"/>
  <c r="Z200" i="3"/>
  <c r="AA199" i="3"/>
  <c r="AB198" i="3"/>
  <c r="AC197" i="3"/>
  <c r="Y197" i="3"/>
  <c r="Z196" i="3"/>
  <c r="AA195" i="3"/>
  <c r="AB194" i="3"/>
  <c r="AC193" i="3"/>
  <c r="Y193" i="3"/>
  <c r="Z192" i="3"/>
  <c r="AA191" i="3"/>
  <c r="AB190" i="3"/>
  <c r="AC189" i="3"/>
  <c r="Y189" i="3"/>
  <c r="AC200" i="3"/>
  <c r="Z199" i="3"/>
  <c r="AA198" i="3"/>
  <c r="AB197" i="3"/>
  <c r="AC196" i="3"/>
  <c r="Z195" i="3"/>
  <c r="AA194" i="3"/>
  <c r="AC192" i="3"/>
  <c r="Y192" i="3"/>
  <c r="AA190" i="3"/>
  <c r="AB189" i="3"/>
  <c r="AC195" i="3"/>
  <c r="AA193" i="3"/>
  <c r="Y191" i="3"/>
  <c r="Z190" i="3"/>
  <c r="AA200" i="3"/>
  <c r="Y198" i="3"/>
  <c r="AB195" i="3"/>
  <c r="Y194" i="3"/>
  <c r="AA192" i="3"/>
  <c r="Y190" i="3"/>
  <c r="C346" i="3"/>
  <c r="D347" i="3"/>
  <c r="EX142" i="3"/>
  <c r="EZ142" i="3"/>
  <c r="EY142" i="3"/>
  <c r="EV142" i="3"/>
  <c r="FR143" i="3"/>
  <c r="FQ143" i="3" s="1"/>
  <c r="EW142" i="3"/>
  <c r="A393" i="3"/>
  <c r="B394" i="3"/>
  <c r="GP142" i="3"/>
  <c r="GN142" i="3"/>
  <c r="GQ143" i="3"/>
  <c r="FR80" i="3"/>
  <c r="FQ80" i="3" s="1"/>
  <c r="FQ79" i="3"/>
  <c r="FW146" i="3"/>
  <c r="FX145" i="3"/>
  <c r="FY145" i="3" s="1"/>
  <c r="FV145" i="3"/>
  <c r="GR142" i="3"/>
  <c r="FI140" i="3"/>
  <c r="FK139" i="3"/>
  <c r="FL139" i="3" s="1"/>
  <c r="FJ140" i="3"/>
  <c r="EN143" i="3"/>
  <c r="EO144" i="3"/>
  <c r="EP143" i="3"/>
  <c r="EQ143" i="3" s="1"/>
  <c r="FG141" i="3"/>
  <c r="FF140" i="3"/>
  <c r="EI77" i="3"/>
  <c r="EJ78" i="3"/>
  <c r="EM48" i="3"/>
  <c r="EN50" i="3"/>
  <c r="EM50" i="3" s="1"/>
  <c r="FH140" i="3"/>
  <c r="DG143" i="3"/>
  <c r="DF142" i="3"/>
  <c r="DH142" i="3"/>
  <c r="DJ138" i="3"/>
  <c r="DK138" i="3" s="1"/>
  <c r="DU8" i="3"/>
  <c r="DI72" i="3"/>
  <c r="DU11" i="3"/>
  <c r="DI75" i="3"/>
  <c r="DI71" i="3"/>
  <c r="DU7" i="3"/>
  <c r="DA76" i="3"/>
  <c r="DB77" i="3"/>
  <c r="DE44" i="3"/>
  <c r="DF46" i="3"/>
  <c r="DI79" i="3"/>
  <c r="DU15" i="3"/>
  <c r="DI78" i="3"/>
  <c r="DU14" i="3"/>
  <c r="DU16" i="3"/>
  <c r="DI80" i="3"/>
  <c r="Q135" i="3"/>
  <c r="AA135" i="3" s="1"/>
  <c r="AR72" i="3"/>
  <c r="DI70" i="3"/>
  <c r="DU6" i="3"/>
  <c r="DU5" i="3"/>
  <c r="DI69" i="3"/>
  <c r="ED15" i="3" s="1"/>
  <c r="DU13" i="3"/>
  <c r="DI77" i="3"/>
  <c r="DO140" i="3"/>
  <c r="DP140" i="3"/>
  <c r="DQ140" i="3"/>
  <c r="DN140" i="3"/>
  <c r="DC140" i="3"/>
  <c r="DI74" i="3"/>
  <c r="DU10" i="3"/>
  <c r="DZ10" i="3" s="1"/>
  <c r="DU9" i="3"/>
  <c r="DI73" i="3"/>
  <c r="DU12" i="3"/>
  <c r="DI76" i="3"/>
  <c r="EA138" i="3"/>
  <c r="DX138" i="3"/>
  <c r="EF138" i="3" s="1"/>
  <c r="DF141" i="3"/>
  <c r="DH141" i="3"/>
  <c r="DI141" i="3" s="1"/>
  <c r="DZ138" i="3"/>
  <c r="DY139" i="3"/>
  <c r="EG139" i="3" s="1"/>
  <c r="EC137" i="3"/>
  <c r="ED137" i="3" s="1"/>
  <c r="DB139" i="3"/>
  <c r="DA139" i="3" s="1"/>
  <c r="DJ139" i="3"/>
  <c r="DK139" i="3" s="1"/>
  <c r="E84" i="3"/>
  <c r="G84" i="3" s="1"/>
  <c r="E80" i="3"/>
  <c r="G80" i="3" s="1"/>
  <c r="E72" i="3"/>
  <c r="G72" i="3" s="1"/>
  <c r="AT72" i="3"/>
  <c r="AJ74" i="3"/>
  <c r="AR74" i="3"/>
  <c r="AT74" i="3" s="1"/>
  <c r="F137" i="3"/>
  <c r="Q182" i="3"/>
  <c r="AC185" i="3"/>
  <c r="Y185" i="3"/>
  <c r="Z184" i="3"/>
  <c r="AA183" i="3"/>
  <c r="AB182" i="3"/>
  <c r="AC181" i="3"/>
  <c r="Y181" i="3"/>
  <c r="Z180" i="3"/>
  <c r="AA179" i="3"/>
  <c r="AB185" i="3"/>
  <c r="AC184" i="3"/>
  <c r="Y184" i="3"/>
  <c r="Z183" i="3"/>
  <c r="AA182" i="3"/>
  <c r="AB181" i="3"/>
  <c r="AC180" i="3"/>
  <c r="Y180" i="3"/>
  <c r="Z179" i="3"/>
  <c r="AA185" i="3"/>
  <c r="AB184" i="3"/>
  <c r="AC183" i="3"/>
  <c r="Y183" i="3"/>
  <c r="Z182" i="3"/>
  <c r="AA181" i="3"/>
  <c r="AB180" i="3"/>
  <c r="AC179" i="3"/>
  <c r="Y179" i="3"/>
  <c r="Z185" i="3"/>
  <c r="AA184" i="3"/>
  <c r="AB183" i="3"/>
  <c r="AC182" i="3"/>
  <c r="Y182" i="3"/>
  <c r="Z181" i="3"/>
  <c r="AA180" i="3"/>
  <c r="AB179" i="3"/>
  <c r="O184" i="3"/>
  <c r="A316" i="3"/>
  <c r="B317" i="3"/>
  <c r="P179" i="3"/>
  <c r="AT73" i="3"/>
  <c r="N179" i="3"/>
  <c r="AR70" i="3"/>
  <c r="AT70" i="3" s="1"/>
  <c r="H338" i="3"/>
  <c r="M338" i="3" s="1"/>
  <c r="N338" i="3" s="1"/>
  <c r="B73" i="3"/>
  <c r="A72" i="3"/>
  <c r="A71" i="3"/>
  <c r="G138" i="3"/>
  <c r="C135" i="3"/>
  <c r="P135" i="3"/>
  <c r="Z135" i="3" s="1"/>
  <c r="Q179" i="3"/>
  <c r="N185" i="3"/>
  <c r="O135" i="3"/>
  <c r="Y135" i="3" s="1"/>
  <c r="AG135" i="3" s="1"/>
  <c r="R135" i="3"/>
  <c r="O186" i="3"/>
  <c r="N187" i="3"/>
  <c r="M188" i="3"/>
  <c r="Q188" i="3"/>
  <c r="P189" i="3"/>
  <c r="O190" i="3"/>
  <c r="N191" i="3"/>
  <c r="M192" i="3"/>
  <c r="Q192" i="3"/>
  <c r="P193" i="3"/>
  <c r="O194" i="3"/>
  <c r="N195" i="3"/>
  <c r="M180" i="3"/>
  <c r="Q180" i="3"/>
  <c r="P181" i="3"/>
  <c r="O182" i="3"/>
  <c r="N183" i="3"/>
  <c r="M184" i="3"/>
  <c r="Q184" i="3"/>
  <c r="P185" i="3"/>
  <c r="P186" i="3"/>
  <c r="O187" i="3"/>
  <c r="N188" i="3"/>
  <c r="M189" i="3"/>
  <c r="Q189" i="3"/>
  <c r="P190" i="3"/>
  <c r="O191" i="3"/>
  <c r="N192" i="3"/>
  <c r="M193" i="3"/>
  <c r="Q193" i="3"/>
  <c r="P194" i="3"/>
  <c r="O195" i="3"/>
  <c r="N180" i="3"/>
  <c r="M181" i="3"/>
  <c r="Q181" i="3"/>
  <c r="P182" i="3"/>
  <c r="O183" i="3"/>
  <c r="N184" i="3"/>
  <c r="M186" i="3"/>
  <c r="Q186" i="3"/>
  <c r="P187" i="3"/>
  <c r="O188" i="3"/>
  <c r="N189" i="3"/>
  <c r="M190" i="3"/>
  <c r="Q190" i="3"/>
  <c r="O192" i="3"/>
  <c r="N193" i="3"/>
  <c r="M194" i="3"/>
  <c r="Q194" i="3"/>
  <c r="P195" i="3"/>
  <c r="O180" i="3"/>
  <c r="N181" i="3"/>
  <c r="M182" i="3"/>
  <c r="N186" i="3"/>
  <c r="M187" i="3"/>
  <c r="Q187" i="3"/>
  <c r="P188" i="3"/>
  <c r="O189" i="3"/>
  <c r="N190" i="3"/>
  <c r="M191" i="3"/>
  <c r="Q191" i="3"/>
  <c r="P192" i="3"/>
  <c r="O193" i="3"/>
  <c r="N194" i="3"/>
  <c r="M195" i="3"/>
  <c r="Q195" i="3"/>
  <c r="P180" i="3"/>
  <c r="O181" i="3"/>
  <c r="N182" i="3"/>
  <c r="M183" i="3"/>
  <c r="Q183" i="3"/>
  <c r="P184" i="3"/>
  <c r="O185" i="3"/>
  <c r="O179" i="3"/>
  <c r="N135" i="3"/>
  <c r="X135" i="3" s="1"/>
  <c r="AF135" i="3" s="1"/>
  <c r="AI135" i="3" s="1"/>
  <c r="M179" i="3"/>
  <c r="Q185" i="3"/>
  <c r="P183" i="3"/>
  <c r="AJ73" i="3"/>
  <c r="I137" i="3"/>
  <c r="A337" i="3" s="1"/>
  <c r="F337" i="3" s="1"/>
  <c r="G337" i="3" s="1"/>
  <c r="I136" i="3"/>
  <c r="A336" i="3" s="1"/>
  <c r="F336" i="3" s="1"/>
  <c r="G336" i="3" s="1"/>
  <c r="G83" i="3"/>
  <c r="G79" i="3"/>
  <c r="G82" i="3"/>
  <c r="G78" i="3"/>
  <c r="G85" i="3"/>
  <c r="G81" i="3"/>
  <c r="G77" i="3"/>
  <c r="G76" i="3"/>
  <c r="G70" i="3"/>
  <c r="G75" i="3"/>
  <c r="G69" i="3"/>
  <c r="G74" i="3"/>
  <c r="G73" i="3"/>
  <c r="G71" i="3"/>
  <c r="EH138" i="3" l="1"/>
  <c r="EH136" i="3"/>
  <c r="CY136" i="3"/>
  <c r="FZ144" i="3"/>
  <c r="GA144" i="3" s="1"/>
  <c r="CY135" i="3"/>
  <c r="AT71" i="3"/>
  <c r="BK8" i="3"/>
  <c r="BK7" i="3"/>
  <c r="BM5" i="3"/>
  <c r="BI5" i="3"/>
  <c r="BK9" i="3"/>
  <c r="BJ9" i="3"/>
  <c r="BM9" i="3"/>
  <c r="BN9" i="3"/>
  <c r="BL9" i="3"/>
  <c r="BL8" i="3"/>
  <c r="BM8" i="3"/>
  <c r="BM7" i="3"/>
  <c r="BI7" i="3"/>
  <c r="BM10" i="3"/>
  <c r="BI10" i="3"/>
  <c r="BK5" i="3"/>
  <c r="BM6" i="3"/>
  <c r="BI6" i="3"/>
  <c r="BN8" i="3"/>
  <c r="BN7" i="3"/>
  <c r="BN10" i="3"/>
  <c r="BK10" i="3"/>
  <c r="BL5" i="3"/>
  <c r="BN6" i="3"/>
  <c r="BK6" i="3"/>
  <c r="BI8" i="3"/>
  <c r="BJ8" i="3"/>
  <c r="BJ7" i="3"/>
  <c r="BL7" i="3"/>
  <c r="BJ10" i="3"/>
  <c r="BL10" i="3"/>
  <c r="BN5" i="3"/>
  <c r="BJ6" i="3"/>
  <c r="BL6" i="3"/>
  <c r="ED12" i="3"/>
  <c r="AU194" i="3"/>
  <c r="DR139" i="3"/>
  <c r="EB138" i="3"/>
  <c r="AU199" i="3"/>
  <c r="AT69" i="3"/>
  <c r="EX143" i="3"/>
  <c r="AI189" i="3"/>
  <c r="EC9" i="3"/>
  <c r="AI190" i="3"/>
  <c r="AU181" i="3"/>
  <c r="AU195" i="3"/>
  <c r="AU197" i="3"/>
  <c r="GF145" i="3"/>
  <c r="AI194" i="3"/>
  <c r="EY143" i="3"/>
  <c r="EZ143" i="3"/>
  <c r="EV143" i="3"/>
  <c r="EW143" i="3"/>
  <c r="AI191" i="3"/>
  <c r="AI197" i="3"/>
  <c r="AI200" i="3"/>
  <c r="AU183" i="3"/>
  <c r="AU204" i="3"/>
  <c r="AU205" i="3"/>
  <c r="GE143" i="3"/>
  <c r="GO142" i="3"/>
  <c r="GS142" i="3" s="1"/>
  <c r="GT142" i="3" s="1"/>
  <c r="DC141" i="3"/>
  <c r="DJ141" i="3" s="1"/>
  <c r="DK141" i="3" s="1"/>
  <c r="AI192" i="3"/>
  <c r="AU186" i="3"/>
  <c r="AU190" i="3"/>
  <c r="AU187" i="3"/>
  <c r="AU184" i="3"/>
  <c r="AU189" i="3"/>
  <c r="AU198" i="3"/>
  <c r="W185" i="3"/>
  <c r="GH145" i="3"/>
  <c r="AI195" i="3"/>
  <c r="AI198" i="3"/>
  <c r="AU182" i="3"/>
  <c r="AU202" i="3"/>
  <c r="FS145" i="3"/>
  <c r="FR145" i="3" s="1"/>
  <c r="FQ145" i="3" s="1"/>
  <c r="EK141" i="3"/>
  <c r="EJ140" i="3"/>
  <c r="EI140" i="3" s="1"/>
  <c r="ER140" i="3"/>
  <c r="ES140" i="3" s="1"/>
  <c r="GD145" i="3"/>
  <c r="D348" i="3"/>
  <c r="C347" i="3"/>
  <c r="AI193" i="3"/>
  <c r="AI199" i="3"/>
  <c r="AI196" i="3"/>
  <c r="AU185" i="3"/>
  <c r="AU179" i="3"/>
  <c r="AU180" i="3"/>
  <c r="AU200" i="3"/>
  <c r="AU203" i="3"/>
  <c r="AU201" i="3"/>
  <c r="GG145" i="3"/>
  <c r="B395" i="3"/>
  <c r="A394" i="3"/>
  <c r="FV146" i="3"/>
  <c r="FX146" i="3"/>
  <c r="FY146" i="3" s="1"/>
  <c r="GQ144" i="3"/>
  <c r="GR143" i="3"/>
  <c r="GN143" i="3"/>
  <c r="FZ145" i="3"/>
  <c r="GA145" i="3" s="1"/>
  <c r="GP143" i="3"/>
  <c r="DZ16" i="3"/>
  <c r="DK69" i="3"/>
  <c r="FN6" i="3"/>
  <c r="FN16" i="3"/>
  <c r="FN14" i="3"/>
  <c r="DK76" i="3"/>
  <c r="DZ9" i="3"/>
  <c r="DZ8" i="3"/>
  <c r="FH141" i="3"/>
  <c r="FI141" i="3"/>
  <c r="FK140" i="3"/>
  <c r="FL140" i="3" s="1"/>
  <c r="FJ141" i="3"/>
  <c r="FF141" i="3"/>
  <c r="EO145" i="3"/>
  <c r="EP144" i="3"/>
  <c r="EQ144" i="3" s="1"/>
  <c r="EN144" i="3"/>
  <c r="EJ79" i="3"/>
  <c r="EI78" i="3"/>
  <c r="FG142" i="3"/>
  <c r="EE13" i="3"/>
  <c r="EE5" i="3"/>
  <c r="EB6" i="3"/>
  <c r="DZ14" i="3"/>
  <c r="EC15" i="3"/>
  <c r="EB7" i="3"/>
  <c r="EE11" i="3"/>
  <c r="EA8" i="3"/>
  <c r="EC12" i="3"/>
  <c r="EB9" i="3"/>
  <c r="EA10" i="3"/>
  <c r="EE10" i="3"/>
  <c r="ED13" i="3"/>
  <c r="EB13" i="3"/>
  <c r="DZ5" i="3"/>
  <c r="EC5" i="3"/>
  <c r="DZ6" i="3"/>
  <c r="ED16" i="3"/>
  <c r="DK80" i="3"/>
  <c r="ED14" i="3"/>
  <c r="EC14" i="3"/>
  <c r="DK79" i="3"/>
  <c r="EE15" i="3"/>
  <c r="DF48" i="3"/>
  <c r="DE46" i="3"/>
  <c r="ED7" i="3"/>
  <c r="EE7" i="3"/>
  <c r="ED11" i="3"/>
  <c r="EA11" i="3"/>
  <c r="EB8" i="3"/>
  <c r="EC8" i="3"/>
  <c r="DF143" i="3"/>
  <c r="DH143" i="3"/>
  <c r="DI143" i="3" s="1"/>
  <c r="DG144" i="3"/>
  <c r="DK75" i="3"/>
  <c r="EA12" i="3"/>
  <c r="EE12" i="3"/>
  <c r="ED9" i="3"/>
  <c r="EA9" i="3"/>
  <c r="ED10" i="3"/>
  <c r="DK74" i="3"/>
  <c r="DK77" i="3"/>
  <c r="EC13" i="3"/>
  <c r="EB5" i="3"/>
  <c r="EA6" i="3"/>
  <c r="EE6" i="3"/>
  <c r="EC16" i="3"/>
  <c r="EE14" i="3"/>
  <c r="DZ15" i="3"/>
  <c r="DZ7" i="3"/>
  <c r="EA7" i="3"/>
  <c r="DZ11" i="3"/>
  <c r="EC11" i="3"/>
  <c r="DK72" i="3"/>
  <c r="EC6" i="3"/>
  <c r="EB16" i="3"/>
  <c r="DO141" i="3"/>
  <c r="DP141" i="3"/>
  <c r="DQ141" i="3"/>
  <c r="DN141" i="3"/>
  <c r="EB12" i="3"/>
  <c r="DZ12" i="3"/>
  <c r="DK73" i="3"/>
  <c r="EE9" i="3"/>
  <c r="EB10" i="3"/>
  <c r="EC10" i="3"/>
  <c r="DZ13" i="3"/>
  <c r="EA13" i="3"/>
  <c r="ED5" i="3"/>
  <c r="EA5" i="3"/>
  <c r="ED6" i="3"/>
  <c r="DK70" i="3"/>
  <c r="EA16" i="3"/>
  <c r="EE16" i="3"/>
  <c r="EA14" i="3"/>
  <c r="EB14" i="3"/>
  <c r="DK78" i="3"/>
  <c r="EB15" i="3"/>
  <c r="EA15" i="3"/>
  <c r="DA77" i="3"/>
  <c r="DB78" i="3"/>
  <c r="DK71" i="3"/>
  <c r="EC7" i="3"/>
  <c r="EB11" i="3"/>
  <c r="ED8" i="3"/>
  <c r="EE8" i="3"/>
  <c r="DI142" i="3"/>
  <c r="EC138" i="3"/>
  <c r="ED138" i="3" s="1"/>
  <c r="DY140" i="3"/>
  <c r="EG140" i="3" s="1"/>
  <c r="DX139" i="3"/>
  <c r="EF139" i="3" s="1"/>
  <c r="EH139" i="3" s="1"/>
  <c r="DB140" i="3"/>
  <c r="DA140" i="3" s="1"/>
  <c r="DJ140" i="3"/>
  <c r="DK140" i="3" s="1"/>
  <c r="DZ139" i="3"/>
  <c r="EA139" i="3"/>
  <c r="W179" i="3"/>
  <c r="W184" i="3"/>
  <c r="W191" i="3"/>
  <c r="W181" i="3"/>
  <c r="W180" i="3"/>
  <c r="CV11" i="3"/>
  <c r="CV9" i="3"/>
  <c r="CV6" i="3"/>
  <c r="CV5" i="3"/>
  <c r="AI182" i="3"/>
  <c r="AI180" i="3"/>
  <c r="CV10" i="3"/>
  <c r="AI179" i="3"/>
  <c r="AI181" i="3"/>
  <c r="AI184" i="3"/>
  <c r="B318" i="3"/>
  <c r="A317" i="3"/>
  <c r="AI183" i="3"/>
  <c r="AI185" i="3"/>
  <c r="CV7" i="3"/>
  <c r="CV8" i="3"/>
  <c r="H339" i="3"/>
  <c r="M339" i="3" s="1"/>
  <c r="N339" i="3" s="1"/>
  <c r="Q136" i="3"/>
  <c r="Q137" i="3" s="1"/>
  <c r="C136" i="3"/>
  <c r="B136" i="3" s="1"/>
  <c r="A136" i="3" s="1"/>
  <c r="W195" i="3"/>
  <c r="W182" i="3"/>
  <c r="O136" i="3"/>
  <c r="P136" i="3"/>
  <c r="W194" i="3"/>
  <c r="W193" i="3"/>
  <c r="J135" i="3"/>
  <c r="K135" i="3" s="1"/>
  <c r="B135" i="3"/>
  <c r="A135" i="3" s="1"/>
  <c r="B74" i="3"/>
  <c r="A73" i="3"/>
  <c r="N136" i="3"/>
  <c r="W187" i="3"/>
  <c r="W190" i="3"/>
  <c r="W189" i="3"/>
  <c r="W192" i="3"/>
  <c r="H138" i="3"/>
  <c r="I138" i="3" s="1"/>
  <c r="A338" i="3" s="1"/>
  <c r="F338" i="3" s="1"/>
  <c r="G338" i="3" s="1"/>
  <c r="G139" i="3"/>
  <c r="F138" i="3"/>
  <c r="W183" i="3"/>
  <c r="W186" i="3"/>
  <c r="W188" i="3"/>
  <c r="R136" i="3"/>
  <c r="AB135" i="3"/>
  <c r="AC135" i="3" s="1"/>
  <c r="AD135" i="3" s="1"/>
  <c r="BO5" i="3" l="1"/>
  <c r="BO7" i="3"/>
  <c r="BO8" i="3"/>
  <c r="BO10" i="3"/>
  <c r="BO9" i="3"/>
  <c r="BO6" i="3"/>
  <c r="GF146" i="3"/>
  <c r="DR140" i="3"/>
  <c r="EB139" i="3"/>
  <c r="EC139" i="3" s="1"/>
  <c r="ED139" i="3" s="1"/>
  <c r="GH146" i="3"/>
  <c r="DB141" i="3"/>
  <c r="DA141" i="3" s="1"/>
  <c r="EW144" i="3"/>
  <c r="EY144" i="3"/>
  <c r="EZ144" i="3"/>
  <c r="EV144" i="3"/>
  <c r="GE144" i="3"/>
  <c r="GO143" i="3"/>
  <c r="GS143" i="3" s="1"/>
  <c r="GT143" i="3" s="1"/>
  <c r="C348" i="3"/>
  <c r="D349" i="3"/>
  <c r="EK142" i="3"/>
  <c r="EJ141" i="3"/>
  <c r="EI141" i="3" s="1"/>
  <c r="ER141" i="3"/>
  <c r="ES141" i="3" s="1"/>
  <c r="EX144" i="3"/>
  <c r="EF15" i="3"/>
  <c r="GG146" i="3"/>
  <c r="GQ146" i="3" s="1"/>
  <c r="GD146" i="3"/>
  <c r="FS146" i="3"/>
  <c r="FR146" i="3" s="1"/>
  <c r="FQ146" i="3" s="1"/>
  <c r="A395" i="3"/>
  <c r="B396" i="3"/>
  <c r="GR144" i="3"/>
  <c r="GP144" i="3"/>
  <c r="GN144" i="3"/>
  <c r="GQ145" i="3"/>
  <c r="FK141" i="3"/>
  <c r="FL141" i="3" s="1"/>
  <c r="FN9" i="3"/>
  <c r="FN10" i="3"/>
  <c r="FN12" i="3"/>
  <c r="FN13" i="3"/>
  <c r="FN11" i="3"/>
  <c r="FN7" i="3"/>
  <c r="FN15" i="3"/>
  <c r="FN5" i="3"/>
  <c r="FN8" i="3"/>
  <c r="EF13" i="3"/>
  <c r="EF16" i="3"/>
  <c r="EF6" i="3"/>
  <c r="EF14" i="3"/>
  <c r="EJ80" i="3"/>
  <c r="EI80" i="3" s="1"/>
  <c r="EI79" i="3"/>
  <c r="FI142" i="3"/>
  <c r="FF142" i="3"/>
  <c r="FG143" i="3"/>
  <c r="FH142" i="3"/>
  <c r="EO146" i="3"/>
  <c r="EP145" i="3"/>
  <c r="EQ145" i="3" s="1"/>
  <c r="EN145" i="3"/>
  <c r="FJ142" i="3"/>
  <c r="DO142" i="3"/>
  <c r="DO143" i="3" s="1"/>
  <c r="DN142" i="3"/>
  <c r="DN143" i="3" s="1"/>
  <c r="DP142" i="3"/>
  <c r="DP143" i="3" s="1"/>
  <c r="DQ142" i="3"/>
  <c r="DQ143" i="3" s="1"/>
  <c r="EF7" i="3"/>
  <c r="EF9" i="3"/>
  <c r="EF11" i="3"/>
  <c r="C137" i="3"/>
  <c r="J137" i="3" s="1"/>
  <c r="K137" i="3" s="1"/>
  <c r="EF5" i="3"/>
  <c r="DE48" i="3"/>
  <c r="DF50" i="3"/>
  <c r="DE50" i="3" s="1"/>
  <c r="DA78" i="3"/>
  <c r="DB79" i="3"/>
  <c r="DC142" i="3"/>
  <c r="DC143" i="3" s="1"/>
  <c r="EF10" i="3"/>
  <c r="EF12" i="3"/>
  <c r="DG145" i="3"/>
  <c r="DF144" i="3"/>
  <c r="DH144" i="3"/>
  <c r="DI144" i="3" s="1"/>
  <c r="EF8" i="3"/>
  <c r="DY141" i="3"/>
  <c r="EG141" i="3" s="1"/>
  <c r="EA140" i="3"/>
  <c r="DZ140" i="3"/>
  <c r="DX140" i="3"/>
  <c r="EF140" i="3" s="1"/>
  <c r="EH140" i="3" s="1"/>
  <c r="CW5" i="3"/>
  <c r="CW11" i="3"/>
  <c r="CW8" i="3"/>
  <c r="J136" i="3"/>
  <c r="K136" i="3" s="1"/>
  <c r="CW7" i="3"/>
  <c r="A318" i="3"/>
  <c r="B319" i="3"/>
  <c r="CW9" i="3"/>
  <c r="Q138" i="3"/>
  <c r="CW10" i="3"/>
  <c r="CW6" i="3"/>
  <c r="H340" i="3"/>
  <c r="M340" i="3" s="1"/>
  <c r="N340" i="3" s="1"/>
  <c r="R137" i="3"/>
  <c r="AB136" i="3"/>
  <c r="N137" i="3"/>
  <c r="X136" i="3"/>
  <c r="AF136" i="3" s="1"/>
  <c r="B75" i="3"/>
  <c r="A74" i="3"/>
  <c r="P137" i="3"/>
  <c r="Z136" i="3"/>
  <c r="O137" i="3"/>
  <c r="Y136" i="3"/>
  <c r="AG136" i="3" s="1"/>
  <c r="G140" i="3"/>
  <c r="H139" i="3"/>
  <c r="I139" i="3" s="1"/>
  <c r="A339" i="3" s="1"/>
  <c r="F339" i="3" s="1"/>
  <c r="G339" i="3" s="1"/>
  <c r="F139" i="3"/>
  <c r="AA136" i="3"/>
  <c r="AA137" i="3"/>
  <c r="AI136" i="3" l="1"/>
  <c r="DR141" i="3"/>
  <c r="EB140" i="3"/>
  <c r="EC140" i="3" s="1"/>
  <c r="ED140" i="3" s="1"/>
  <c r="DJ142" i="3"/>
  <c r="DK142" i="3" s="1"/>
  <c r="B137" i="3"/>
  <c r="A137" i="3" s="1"/>
  <c r="C138" i="3"/>
  <c r="C139" i="3" s="1"/>
  <c r="DB142" i="3"/>
  <c r="DA142" i="3" s="1"/>
  <c r="EV145" i="3"/>
  <c r="EZ145" i="3"/>
  <c r="EK143" i="3"/>
  <c r="EJ142" i="3"/>
  <c r="EI142" i="3" s="1"/>
  <c r="ER142" i="3"/>
  <c r="ES142" i="3" s="1"/>
  <c r="DC144" i="3"/>
  <c r="FZ146" i="3"/>
  <c r="GA146" i="3" s="1"/>
  <c r="EX145" i="3"/>
  <c r="C349" i="3"/>
  <c r="D350" i="3"/>
  <c r="GE145" i="3"/>
  <c r="GO144" i="3"/>
  <c r="GS144" i="3" s="1"/>
  <c r="GT144" i="3" s="1"/>
  <c r="EW145" i="3"/>
  <c r="EY145" i="3"/>
  <c r="B397" i="3"/>
  <c r="A397" i="3" s="1"/>
  <c r="A396" i="3"/>
  <c r="GP146" i="3"/>
  <c r="GP145" i="3"/>
  <c r="GN146" i="3"/>
  <c r="GN145" i="3"/>
  <c r="GR146" i="3"/>
  <c r="GR145" i="3"/>
  <c r="FK142" i="3"/>
  <c r="FL142" i="3" s="1"/>
  <c r="EN146" i="3"/>
  <c r="EP146" i="3"/>
  <c r="EQ146" i="3" s="1"/>
  <c r="FJ143" i="3"/>
  <c r="FF143" i="3"/>
  <c r="FH143" i="3"/>
  <c r="FG144" i="3"/>
  <c r="FI143" i="3"/>
  <c r="DG146" i="3"/>
  <c r="DH145" i="3"/>
  <c r="DI145" i="3" s="1"/>
  <c r="DF145" i="3"/>
  <c r="DB80" i="3"/>
  <c r="DA80" i="3" s="1"/>
  <c r="DA79" i="3"/>
  <c r="DO144" i="3"/>
  <c r="DP144" i="3"/>
  <c r="DQ144" i="3"/>
  <c r="DN144" i="3"/>
  <c r="DZ141" i="3"/>
  <c r="EA141" i="3"/>
  <c r="DY142" i="3"/>
  <c r="DX141" i="3"/>
  <c r="EF141" i="3" s="1"/>
  <c r="EH141" i="3" s="1"/>
  <c r="DB143" i="3"/>
  <c r="DA143" i="3" s="1"/>
  <c r="DJ143" i="3"/>
  <c r="DK143" i="3" s="1"/>
  <c r="Q139" i="3"/>
  <c r="B320" i="3"/>
  <c r="A319" i="3"/>
  <c r="H341" i="3"/>
  <c r="M341" i="3" s="1"/>
  <c r="N341" i="3" s="1"/>
  <c r="G141" i="3"/>
  <c r="H140" i="3"/>
  <c r="I140" i="3" s="1"/>
  <c r="A340" i="3" s="1"/>
  <c r="F340" i="3" s="1"/>
  <c r="G340" i="3" s="1"/>
  <c r="F140" i="3"/>
  <c r="AC136" i="3"/>
  <c r="AD136" i="3" s="1"/>
  <c r="N138" i="3"/>
  <c r="X137" i="3"/>
  <c r="AF137" i="3" s="1"/>
  <c r="AI137" i="3" s="1"/>
  <c r="R138" i="3"/>
  <c r="AB137" i="3"/>
  <c r="O138" i="3"/>
  <c r="Y137" i="3"/>
  <c r="AG137" i="3" s="1"/>
  <c r="A75" i="3"/>
  <c r="B76" i="3"/>
  <c r="J138" i="3"/>
  <c r="K138" i="3" s="1"/>
  <c r="P138" i="3"/>
  <c r="Z137" i="3"/>
  <c r="AA138" i="3"/>
  <c r="B138" i="3" l="1"/>
  <c r="A138" i="3" s="1"/>
  <c r="DR142" i="3"/>
  <c r="EB141" i="3"/>
  <c r="EC141" i="3" s="1"/>
  <c r="ED141" i="3" s="1"/>
  <c r="EX146" i="3"/>
  <c r="GE146" i="3"/>
  <c r="GO146" i="3" s="1"/>
  <c r="GS146" i="3" s="1"/>
  <c r="GT146" i="3" s="1"/>
  <c r="GO145" i="3"/>
  <c r="GS145" i="3" s="1"/>
  <c r="GT145" i="3" s="1"/>
  <c r="EK144" i="3"/>
  <c r="EJ143" i="3"/>
  <c r="EI143" i="3" s="1"/>
  <c r="ER143" i="3"/>
  <c r="ES143" i="3" s="1"/>
  <c r="EZ146" i="3"/>
  <c r="EV146" i="3"/>
  <c r="EY146" i="3"/>
  <c r="C350" i="3"/>
  <c r="D351" i="3"/>
  <c r="C351" i="3" s="1"/>
  <c r="EW146" i="3"/>
  <c r="FG146" i="3" s="1"/>
  <c r="FK143" i="3"/>
  <c r="FL143" i="3" s="1"/>
  <c r="FG145" i="3"/>
  <c r="FF144" i="3"/>
  <c r="FI144" i="3"/>
  <c r="FH144" i="3"/>
  <c r="FJ144" i="3"/>
  <c r="DC145" i="3"/>
  <c r="DO145" i="3"/>
  <c r="DP145" i="3"/>
  <c r="DQ145" i="3"/>
  <c r="DN145" i="3"/>
  <c r="DH146" i="3"/>
  <c r="DI146" i="3" s="1"/>
  <c r="DF146" i="3"/>
  <c r="DY143" i="3"/>
  <c r="EA142" i="3"/>
  <c r="DZ142" i="3"/>
  <c r="DX142" i="3"/>
  <c r="DJ144" i="3"/>
  <c r="DK144" i="3" s="1"/>
  <c r="DB144" i="3"/>
  <c r="DA144" i="3" s="1"/>
  <c r="Q140" i="3"/>
  <c r="AC137" i="3"/>
  <c r="AD137" i="3" s="1"/>
  <c r="B321" i="3"/>
  <c r="A320" i="3"/>
  <c r="R139" i="3"/>
  <c r="AB138" i="3"/>
  <c r="B77" i="3"/>
  <c r="A76" i="3"/>
  <c r="C140" i="3"/>
  <c r="B139" i="3"/>
  <c r="A139" i="3" s="1"/>
  <c r="O139" i="3"/>
  <c r="Y138" i="3"/>
  <c r="AG138" i="3" s="1"/>
  <c r="N139" i="3"/>
  <c r="X138" i="3"/>
  <c r="AF138" i="3" s="1"/>
  <c r="AI138" i="3" s="1"/>
  <c r="J139" i="3"/>
  <c r="K139" i="3" s="1"/>
  <c r="P139" i="3"/>
  <c r="Z138" i="3"/>
  <c r="F141" i="3"/>
  <c r="G142" i="3"/>
  <c r="H141" i="3"/>
  <c r="I141" i="3" s="1"/>
  <c r="AA139" i="3"/>
  <c r="DR143" i="3" l="1"/>
  <c r="EB142" i="3"/>
  <c r="EK145" i="3"/>
  <c r="EJ144" i="3"/>
  <c r="EI144" i="3" s="1"/>
  <c r="ER144" i="3"/>
  <c r="ES144" i="3" s="1"/>
  <c r="Q141" i="3"/>
  <c r="A341" i="3"/>
  <c r="F341" i="3" s="1"/>
  <c r="G341" i="3" s="1"/>
  <c r="FI146" i="3"/>
  <c r="FI145" i="3"/>
  <c r="FJ146" i="3"/>
  <c r="FJ145" i="3"/>
  <c r="FK144" i="3"/>
  <c r="FL144" i="3" s="1"/>
  <c r="FH146" i="3"/>
  <c r="FH145" i="3"/>
  <c r="FF146" i="3"/>
  <c r="FF145" i="3"/>
  <c r="AC138" i="3"/>
  <c r="AD138" i="3" s="1"/>
  <c r="DC146" i="3"/>
  <c r="DO146" i="3"/>
  <c r="DN146" i="3"/>
  <c r="DP146" i="3"/>
  <c r="DQ146" i="3"/>
  <c r="EC142" i="3"/>
  <c r="ED142" i="3" s="1"/>
  <c r="DZ143" i="3"/>
  <c r="EA143" i="3"/>
  <c r="DY144" i="3"/>
  <c r="DX143" i="3"/>
  <c r="DJ145" i="3"/>
  <c r="DK145" i="3" s="1"/>
  <c r="DB145" i="3"/>
  <c r="DA145" i="3" s="1"/>
  <c r="B322" i="3"/>
  <c r="A321" i="3"/>
  <c r="H142" i="3"/>
  <c r="I142" i="3" s="1"/>
  <c r="A342" i="3" s="1"/>
  <c r="F342" i="3" s="1"/>
  <c r="G342" i="3" s="1"/>
  <c r="G143" i="3"/>
  <c r="F142" i="3"/>
  <c r="N140" i="3"/>
  <c r="X139" i="3"/>
  <c r="AF139" i="3" s="1"/>
  <c r="C141" i="3"/>
  <c r="J141" i="3" s="1"/>
  <c r="K141" i="3" s="1"/>
  <c r="B140" i="3"/>
  <c r="A140" i="3" s="1"/>
  <c r="R140" i="3"/>
  <c r="AB139" i="3"/>
  <c r="P140" i="3"/>
  <c r="Z139" i="3"/>
  <c r="J140" i="3"/>
  <c r="K140" i="3" s="1"/>
  <c r="O140" i="3"/>
  <c r="Y139" i="3"/>
  <c r="AG139" i="3" s="1"/>
  <c r="B78" i="3"/>
  <c r="A77" i="3"/>
  <c r="AA140" i="3"/>
  <c r="AA141" i="3"/>
  <c r="AI139" i="3" l="1"/>
  <c r="DR144" i="3"/>
  <c r="EB143" i="3"/>
  <c r="EC143" i="3" s="1"/>
  <c r="ED143" i="3" s="1"/>
  <c r="EK146" i="3"/>
  <c r="EJ145" i="3"/>
  <c r="EI145" i="3" s="1"/>
  <c r="ER145" i="3"/>
  <c r="ES145" i="3" s="1"/>
  <c r="Q142" i="3"/>
  <c r="AA142" i="3" s="1"/>
  <c r="FK146" i="3"/>
  <c r="FL146" i="3" s="1"/>
  <c r="FK145" i="3"/>
  <c r="FL145" i="3" s="1"/>
  <c r="DY146" i="3"/>
  <c r="DY145" i="3"/>
  <c r="EA144" i="3"/>
  <c r="DZ144" i="3"/>
  <c r="DX144" i="3"/>
  <c r="DB146" i="3"/>
  <c r="DA146" i="3" s="1"/>
  <c r="DJ146" i="3"/>
  <c r="DK146" i="3" s="1"/>
  <c r="AC139" i="3"/>
  <c r="AD139" i="3" s="1"/>
  <c r="A322" i="3"/>
  <c r="B323" i="3"/>
  <c r="B79" i="3"/>
  <c r="A78" i="3"/>
  <c r="R141" i="3"/>
  <c r="AB140" i="3"/>
  <c r="G144" i="3"/>
  <c r="F143" i="3"/>
  <c r="H143" i="3"/>
  <c r="I143" i="3" s="1"/>
  <c r="A343" i="3" s="1"/>
  <c r="F343" i="3" s="1"/>
  <c r="G343" i="3" s="1"/>
  <c r="O141" i="3"/>
  <c r="Y140" i="3"/>
  <c r="AG140" i="3" s="1"/>
  <c r="P141" i="3"/>
  <c r="Z140" i="3"/>
  <c r="C142" i="3"/>
  <c r="B141" i="3"/>
  <c r="A141" i="3" s="1"/>
  <c r="N141" i="3"/>
  <c r="X140" i="3"/>
  <c r="AF140" i="3" s="1"/>
  <c r="AI140" i="3" l="1"/>
  <c r="DR145" i="3"/>
  <c r="EB144" i="3"/>
  <c r="EC144" i="3" s="1"/>
  <c r="ED144" i="3" s="1"/>
  <c r="EJ146" i="3"/>
  <c r="EI146" i="3" s="1"/>
  <c r="ER146" i="3"/>
  <c r="ES146" i="3" s="1"/>
  <c r="DZ146" i="3"/>
  <c r="DZ145" i="3"/>
  <c r="EA146" i="3"/>
  <c r="EA145" i="3"/>
  <c r="DX146" i="3"/>
  <c r="DX145" i="3"/>
  <c r="AC140" i="3"/>
  <c r="AD140" i="3" s="1"/>
  <c r="B324" i="3"/>
  <c r="A323" i="3"/>
  <c r="P142" i="3"/>
  <c r="Z142" i="3" s="1"/>
  <c r="Z141" i="3"/>
  <c r="G145" i="3"/>
  <c r="H144" i="3"/>
  <c r="I144" i="3" s="1"/>
  <c r="A344" i="3" s="1"/>
  <c r="F344" i="3" s="1"/>
  <c r="G344" i="3" s="1"/>
  <c r="F144" i="3"/>
  <c r="B80" i="3"/>
  <c r="A79" i="3"/>
  <c r="C143" i="3"/>
  <c r="B142" i="3"/>
  <c r="A142" i="3" s="1"/>
  <c r="J142" i="3"/>
  <c r="K142" i="3" s="1"/>
  <c r="O142" i="3"/>
  <c r="Y142" i="3" s="1"/>
  <c r="AG142" i="3" s="1"/>
  <c r="Y141" i="3"/>
  <c r="AG141" i="3" s="1"/>
  <c r="Q143" i="3"/>
  <c r="AA143" i="3" s="1"/>
  <c r="R142" i="3"/>
  <c r="AB142" i="3" s="1"/>
  <c r="AB141" i="3"/>
  <c r="N142" i="3"/>
  <c r="X142" i="3" s="1"/>
  <c r="AF142" i="3" s="1"/>
  <c r="X141" i="3"/>
  <c r="AF141" i="3" s="1"/>
  <c r="AI141" i="3" s="1"/>
  <c r="AI142" i="3" l="1"/>
  <c r="DR146" i="3"/>
  <c r="EB146" i="3" s="1"/>
  <c r="EC146" i="3" s="1"/>
  <c r="ED146" i="3" s="1"/>
  <c r="EB145" i="3"/>
  <c r="EC145" i="3" s="1"/>
  <c r="ED145" i="3" s="1"/>
  <c r="O143" i="3"/>
  <c r="Y143" i="3" s="1"/>
  <c r="AG143" i="3" s="1"/>
  <c r="R143" i="3"/>
  <c r="AB143" i="3" s="1"/>
  <c r="AC141" i="3"/>
  <c r="AD141" i="3" s="1"/>
  <c r="B325" i="3"/>
  <c r="A324" i="3"/>
  <c r="AC142" i="3"/>
  <c r="AD142" i="3" s="1"/>
  <c r="P143" i="3"/>
  <c r="Z143" i="3" s="1"/>
  <c r="C144" i="3"/>
  <c r="B143" i="3"/>
  <c r="A143" i="3" s="1"/>
  <c r="J143" i="3"/>
  <c r="K143" i="3" s="1"/>
  <c r="Q144" i="3"/>
  <c r="AA144" i="3" s="1"/>
  <c r="N143" i="3"/>
  <c r="X143" i="3" s="1"/>
  <c r="AF143" i="3" s="1"/>
  <c r="AI143" i="3" s="1"/>
  <c r="G146" i="3"/>
  <c r="H145" i="3"/>
  <c r="I145" i="3" s="1"/>
  <c r="A345" i="3" s="1"/>
  <c r="F345" i="3" s="1"/>
  <c r="G345" i="3" s="1"/>
  <c r="F145" i="3"/>
  <c r="A80" i="3"/>
  <c r="B81" i="3"/>
  <c r="O144" i="3" l="1"/>
  <c r="Y144" i="3" s="1"/>
  <c r="AG144" i="3" s="1"/>
  <c r="R144" i="3"/>
  <c r="AB144" i="3" s="1"/>
  <c r="AC143" i="3"/>
  <c r="AD143" i="3" s="1"/>
  <c r="B326" i="3"/>
  <c r="A325" i="3"/>
  <c r="P144" i="3"/>
  <c r="Z144" i="3" s="1"/>
  <c r="G147" i="3"/>
  <c r="H146" i="3"/>
  <c r="I146" i="3" s="1"/>
  <c r="A346" i="3" s="1"/>
  <c r="F346" i="3" s="1"/>
  <c r="G346" i="3" s="1"/>
  <c r="F146" i="3"/>
  <c r="C145" i="3"/>
  <c r="B144" i="3"/>
  <c r="A144" i="3" s="1"/>
  <c r="J144" i="3"/>
  <c r="K144" i="3" s="1"/>
  <c r="B82" i="3"/>
  <c r="A81" i="3"/>
  <c r="N144" i="3"/>
  <c r="X144" i="3" s="1"/>
  <c r="AF144" i="3" s="1"/>
  <c r="Q145" i="3"/>
  <c r="AA145" i="3" s="1"/>
  <c r="AI144" i="3" l="1"/>
  <c r="P145" i="3"/>
  <c r="Z145" i="3" s="1"/>
  <c r="O145" i="3"/>
  <c r="Y145" i="3" s="1"/>
  <c r="AG145" i="3" s="1"/>
  <c r="R145" i="3"/>
  <c r="AB145" i="3" s="1"/>
  <c r="AC144" i="3"/>
  <c r="AD144" i="3" s="1"/>
  <c r="B327" i="3"/>
  <c r="A326" i="3"/>
  <c r="N145" i="3"/>
  <c r="X145" i="3" s="1"/>
  <c r="AF145" i="3" s="1"/>
  <c r="AI145" i="3" s="1"/>
  <c r="C146" i="3"/>
  <c r="B145" i="3"/>
  <c r="A145" i="3" s="1"/>
  <c r="J145" i="3"/>
  <c r="K145" i="3" s="1"/>
  <c r="P146" i="3"/>
  <c r="Z146" i="3" s="1"/>
  <c r="R146" i="3"/>
  <c r="AB146" i="3" s="1"/>
  <c r="Q146" i="3"/>
  <c r="AA146" i="3" s="1"/>
  <c r="B83" i="3"/>
  <c r="A82" i="3"/>
  <c r="G148" i="3"/>
  <c r="H147" i="3"/>
  <c r="I147" i="3" s="1"/>
  <c r="A347" i="3" s="1"/>
  <c r="F347" i="3" s="1"/>
  <c r="G347" i="3" s="1"/>
  <c r="F147" i="3"/>
  <c r="AC145" i="3" l="1"/>
  <c r="AD145" i="3" s="1"/>
  <c r="O146" i="3"/>
  <c r="Y146" i="3" s="1"/>
  <c r="AG146" i="3" s="1"/>
  <c r="N146" i="3"/>
  <c r="X146" i="3" s="1"/>
  <c r="B328" i="3"/>
  <c r="A328" i="3" s="1"/>
  <c r="A327" i="3"/>
  <c r="A83" i="3"/>
  <c r="B84" i="3"/>
  <c r="G149" i="3"/>
  <c r="H148" i="3"/>
  <c r="I148" i="3" s="1"/>
  <c r="A348" i="3" s="1"/>
  <c r="F348" i="3" s="1"/>
  <c r="G348" i="3" s="1"/>
  <c r="F148" i="3"/>
  <c r="C147" i="3"/>
  <c r="B146" i="3"/>
  <c r="A146" i="3" s="1"/>
  <c r="J146" i="3"/>
  <c r="K146" i="3" s="1"/>
  <c r="O147" i="3"/>
  <c r="Y147" i="3" s="1"/>
  <c r="AG147" i="3" s="1"/>
  <c r="R147" i="3"/>
  <c r="AB147" i="3" s="1"/>
  <c r="P147" i="3"/>
  <c r="Z147" i="3" s="1"/>
  <c r="N147" i="3"/>
  <c r="X147" i="3" s="1"/>
  <c r="AF147" i="3" s="1"/>
  <c r="AI147" i="3" s="1"/>
  <c r="Q147" i="3"/>
  <c r="AA147" i="3" s="1"/>
  <c r="AC146" i="3" l="1"/>
  <c r="AD146" i="3" s="1"/>
  <c r="AF146" i="3"/>
  <c r="AI146" i="3" s="1"/>
  <c r="C148" i="3"/>
  <c r="B147" i="3"/>
  <c r="A147" i="3" s="1"/>
  <c r="J147" i="3"/>
  <c r="K147" i="3" s="1"/>
  <c r="N148" i="3"/>
  <c r="X148" i="3" s="1"/>
  <c r="AF148" i="3" s="1"/>
  <c r="AI148" i="3" s="1"/>
  <c r="R148" i="3"/>
  <c r="AB148" i="3" s="1"/>
  <c r="Q148" i="3"/>
  <c r="AA148" i="3" s="1"/>
  <c r="P148" i="3"/>
  <c r="Z148" i="3" s="1"/>
  <c r="O148" i="3"/>
  <c r="Y148" i="3" s="1"/>
  <c r="AG148" i="3" s="1"/>
  <c r="AC147" i="3"/>
  <c r="AD147" i="3" s="1"/>
  <c r="B85" i="3"/>
  <c r="A85" i="3" s="1"/>
  <c r="A84" i="3"/>
  <c r="G150" i="3"/>
  <c r="F149" i="3"/>
  <c r="H149" i="3"/>
  <c r="I149" i="3" s="1"/>
  <c r="A349" i="3" s="1"/>
  <c r="F349" i="3" s="1"/>
  <c r="G349" i="3" s="1"/>
  <c r="N149" i="3" l="1"/>
  <c r="X149" i="3" s="1"/>
  <c r="AF149" i="3" s="1"/>
  <c r="AI149" i="3" s="1"/>
  <c r="P149" i="3"/>
  <c r="Z149" i="3" s="1"/>
  <c r="R149" i="3"/>
  <c r="AB149" i="3" s="1"/>
  <c r="O149" i="3"/>
  <c r="Y149" i="3" s="1"/>
  <c r="AG149" i="3" s="1"/>
  <c r="Q149" i="3"/>
  <c r="AA149" i="3" s="1"/>
  <c r="AC148" i="3"/>
  <c r="AD148" i="3" s="1"/>
  <c r="G151" i="3"/>
  <c r="H150" i="3"/>
  <c r="I150" i="3" s="1"/>
  <c r="A350" i="3" s="1"/>
  <c r="F350" i="3" s="1"/>
  <c r="G350" i="3" s="1"/>
  <c r="F150" i="3"/>
  <c r="C149" i="3"/>
  <c r="B148" i="3"/>
  <c r="A148" i="3" s="1"/>
  <c r="J148" i="3"/>
  <c r="K148" i="3" s="1"/>
  <c r="H151" i="3" l="1"/>
  <c r="I151" i="3" s="1"/>
  <c r="A351" i="3" s="1"/>
  <c r="F351" i="3" s="1"/>
  <c r="G351" i="3" s="1"/>
  <c r="F151" i="3"/>
  <c r="Q150" i="3"/>
  <c r="AA150" i="3" s="1"/>
  <c r="N150" i="3"/>
  <c r="X150" i="3" s="1"/>
  <c r="AF150" i="3" s="1"/>
  <c r="AI150" i="3" s="1"/>
  <c r="P150" i="3"/>
  <c r="Z150" i="3" s="1"/>
  <c r="R150" i="3"/>
  <c r="AB150" i="3" s="1"/>
  <c r="O150" i="3"/>
  <c r="Y150" i="3" s="1"/>
  <c r="AG150" i="3" s="1"/>
  <c r="C150" i="3"/>
  <c r="B149" i="3"/>
  <c r="A149" i="3" s="1"/>
  <c r="J149" i="3"/>
  <c r="K149" i="3" s="1"/>
  <c r="AC149" i="3"/>
  <c r="AD149" i="3" s="1"/>
  <c r="C151" i="3" l="1"/>
  <c r="B151" i="3" s="1"/>
  <c r="B150" i="3"/>
  <c r="A150" i="3" s="1"/>
  <c r="AC150" i="3"/>
  <c r="AD150" i="3" s="1"/>
  <c r="J150" i="3"/>
  <c r="K150" i="3" s="1"/>
  <c r="O151" i="3"/>
  <c r="Y151" i="3" s="1"/>
  <c r="AG151" i="3" s="1"/>
  <c r="N151" i="3"/>
  <c r="X151" i="3" s="1"/>
  <c r="AF151" i="3" s="1"/>
  <c r="AI151" i="3" s="1"/>
  <c r="Q151" i="3"/>
  <c r="AA151" i="3" s="1"/>
  <c r="R151" i="3"/>
  <c r="AB151" i="3" s="1"/>
  <c r="P151" i="3"/>
  <c r="Z151" i="3" s="1"/>
  <c r="A151" i="3"/>
  <c r="J151" i="3" l="1"/>
  <c r="K151" i="3" s="1"/>
  <c r="AC151" i="3"/>
  <c r="AD151" i="3" s="1"/>
  <c r="F36" i="3"/>
  <c r="E36" i="3" s="1"/>
  <c r="H45" i="3"/>
  <c r="V42" i="3"/>
  <c r="V40" i="3"/>
  <c r="V38" i="3"/>
  <c r="H31" i="3"/>
  <c r="C28" i="3"/>
  <c r="J11" i="3"/>
  <c r="O11" i="3" s="1"/>
  <c r="T11" i="3" s="1"/>
  <c r="I11" i="3"/>
  <c r="N11" i="3" s="1"/>
  <c r="S11" i="3" s="1"/>
  <c r="H11" i="3"/>
  <c r="M11" i="3" s="1"/>
  <c r="R11" i="3" s="1"/>
  <c r="G11" i="3"/>
  <c r="L11" i="3" s="1"/>
  <c r="Q11" i="3" s="1"/>
  <c r="F11" i="3"/>
  <c r="K11" i="3" s="1"/>
  <c r="P11" i="3" s="1"/>
  <c r="J10" i="3"/>
  <c r="O10" i="3" s="1"/>
  <c r="T10" i="3" s="1"/>
  <c r="I10" i="3"/>
  <c r="N10" i="3" s="1"/>
  <c r="S10" i="3" s="1"/>
  <c r="H10" i="3"/>
  <c r="M10" i="3" s="1"/>
  <c r="R10" i="3" s="1"/>
  <c r="G10" i="3"/>
  <c r="L10" i="3" s="1"/>
  <c r="Q10" i="3" s="1"/>
  <c r="F10" i="3"/>
  <c r="K10" i="3" s="1"/>
  <c r="P10" i="3" s="1"/>
  <c r="J9" i="3"/>
  <c r="O9" i="3" s="1"/>
  <c r="T9" i="3" s="1"/>
  <c r="I9" i="3"/>
  <c r="N9" i="3" s="1"/>
  <c r="S9" i="3" s="1"/>
  <c r="H9" i="3"/>
  <c r="M9" i="3" s="1"/>
  <c r="R9" i="3" s="1"/>
  <c r="G9" i="3"/>
  <c r="L9" i="3" s="1"/>
  <c r="Q9" i="3" s="1"/>
  <c r="F9" i="3"/>
  <c r="K9" i="3" s="1"/>
  <c r="J8" i="3"/>
  <c r="O8" i="3" s="1"/>
  <c r="T8" i="3" s="1"/>
  <c r="I8" i="3"/>
  <c r="N8" i="3" s="1"/>
  <c r="S8" i="3" s="1"/>
  <c r="H8" i="3"/>
  <c r="M8" i="3" s="1"/>
  <c r="R8" i="3" s="1"/>
  <c r="G8" i="3"/>
  <c r="L8" i="3" s="1"/>
  <c r="Q8" i="3" s="1"/>
  <c r="F8" i="3"/>
  <c r="K8" i="3" s="1"/>
  <c r="J7" i="3"/>
  <c r="O7" i="3" s="1"/>
  <c r="T7" i="3" s="1"/>
  <c r="I7" i="3"/>
  <c r="N7" i="3" s="1"/>
  <c r="S7" i="3" s="1"/>
  <c r="H7" i="3"/>
  <c r="M7" i="3" s="1"/>
  <c r="R7" i="3" s="1"/>
  <c r="G7" i="3"/>
  <c r="L7" i="3" s="1"/>
  <c r="Q7" i="3" s="1"/>
  <c r="F7" i="3"/>
  <c r="K7" i="3" s="1"/>
  <c r="J6" i="3"/>
  <c r="O6" i="3" s="1"/>
  <c r="T6" i="3" s="1"/>
  <c r="I6" i="3"/>
  <c r="N6" i="3" s="1"/>
  <c r="S6" i="3" s="1"/>
  <c r="H6" i="3"/>
  <c r="M6" i="3" s="1"/>
  <c r="R6" i="3" s="1"/>
  <c r="G6" i="3"/>
  <c r="L6" i="3" s="1"/>
  <c r="Q6" i="3" s="1"/>
  <c r="F6" i="3"/>
  <c r="K6" i="3" s="1"/>
  <c r="J5" i="3"/>
  <c r="O5" i="3" s="1"/>
  <c r="T5" i="3" s="1"/>
  <c r="I5" i="3"/>
  <c r="N5" i="3" s="1"/>
  <c r="S5" i="3" s="1"/>
  <c r="H5" i="3"/>
  <c r="M5" i="3" s="1"/>
  <c r="R5" i="3" s="1"/>
  <c r="G5" i="3"/>
  <c r="L5" i="3" s="1"/>
  <c r="Q5" i="3" s="1"/>
  <c r="F5" i="3"/>
  <c r="K5" i="3" s="1"/>
  <c r="P5" i="3" s="1"/>
  <c r="P6" i="3" l="1"/>
  <c r="P9" i="3"/>
  <c r="P7" i="3"/>
  <c r="F38" i="3"/>
  <c r="E38" i="3" s="1"/>
  <c r="P8" i="3"/>
  <c r="H78" i="3"/>
  <c r="H74" i="3"/>
  <c r="H79" i="3"/>
  <c r="H83" i="3"/>
  <c r="H80" i="3"/>
  <c r="H84" i="3"/>
  <c r="H77" i="3"/>
  <c r="H81" i="3"/>
  <c r="H85" i="3"/>
  <c r="H82" i="3"/>
  <c r="H76" i="3"/>
  <c r="H72" i="3"/>
  <c r="H70" i="3"/>
  <c r="H71" i="3"/>
  <c r="H73" i="3"/>
  <c r="H75" i="3"/>
  <c r="H69" i="3"/>
  <c r="F79" i="3"/>
  <c r="F85" i="3"/>
  <c r="F84" i="3"/>
  <c r="F75" i="3"/>
  <c r="F71" i="3"/>
  <c r="F72" i="3"/>
  <c r="F82" i="3"/>
  <c r="F80" i="3"/>
  <c r="F70" i="3"/>
  <c r="F81" i="3"/>
  <c r="F69" i="3"/>
  <c r="F73" i="3"/>
  <c r="F78" i="3"/>
  <c r="F76" i="3"/>
  <c r="F74" i="3"/>
  <c r="F77" i="3"/>
  <c r="F83" i="3"/>
  <c r="Y9" i="3" l="1"/>
  <c r="V9" i="3"/>
  <c r="U9" i="3"/>
  <c r="W9" i="3"/>
  <c r="X9" i="3"/>
  <c r="I73" i="3"/>
  <c r="Y12" i="3"/>
  <c r="V12" i="3"/>
  <c r="W12" i="3"/>
  <c r="U12" i="3"/>
  <c r="X12" i="3"/>
  <c r="I76" i="3"/>
  <c r="Y13" i="3"/>
  <c r="V13" i="3"/>
  <c r="U13" i="3"/>
  <c r="W13" i="3"/>
  <c r="X13" i="3"/>
  <c r="I77" i="3"/>
  <c r="Y15" i="3"/>
  <c r="V15" i="3"/>
  <c r="W15" i="3"/>
  <c r="X15" i="3"/>
  <c r="U15" i="3"/>
  <c r="I79" i="3"/>
  <c r="F40" i="3"/>
  <c r="E40" i="3" s="1"/>
  <c r="Y18" i="3"/>
  <c r="U18" i="3"/>
  <c r="V18" i="3"/>
  <c r="W18" i="3"/>
  <c r="X18" i="3"/>
  <c r="I82" i="3"/>
  <c r="Y5" i="3"/>
  <c r="V5" i="3"/>
  <c r="U5" i="3"/>
  <c r="W5" i="3"/>
  <c r="X5" i="3"/>
  <c r="I69" i="3"/>
  <c r="K69" i="3" s="1"/>
  <c r="Y6" i="3"/>
  <c r="U6" i="3"/>
  <c r="V6" i="3"/>
  <c r="W6" i="3"/>
  <c r="X6" i="3"/>
  <c r="I70" i="3"/>
  <c r="Y21" i="3"/>
  <c r="V21" i="3"/>
  <c r="U21" i="3"/>
  <c r="W21" i="3"/>
  <c r="X21" i="3"/>
  <c r="I85" i="3"/>
  <c r="K85" i="3" s="1"/>
  <c r="Y16" i="3"/>
  <c r="V16" i="3"/>
  <c r="W16" i="3"/>
  <c r="U16" i="3"/>
  <c r="X16" i="3"/>
  <c r="I80" i="3"/>
  <c r="Y14" i="3"/>
  <c r="U14" i="3"/>
  <c r="V14" i="3"/>
  <c r="W14" i="3"/>
  <c r="X14" i="3"/>
  <c r="I78" i="3"/>
  <c r="AA7" i="3"/>
  <c r="Y7" i="3"/>
  <c r="V7" i="3"/>
  <c r="AC7" i="3"/>
  <c r="W7" i="3"/>
  <c r="X7" i="3"/>
  <c r="U7" i="3"/>
  <c r="I71" i="3"/>
  <c r="Y20" i="3"/>
  <c r="V20" i="3"/>
  <c r="W20" i="3"/>
  <c r="U20" i="3"/>
  <c r="X20" i="3"/>
  <c r="I84" i="3"/>
  <c r="Y10" i="3"/>
  <c r="U10" i="3"/>
  <c r="V10" i="3"/>
  <c r="AE10" i="3"/>
  <c r="W10" i="3"/>
  <c r="X10" i="3"/>
  <c r="I74" i="3"/>
  <c r="Y11" i="3"/>
  <c r="V11" i="3"/>
  <c r="W11" i="3"/>
  <c r="X11" i="3"/>
  <c r="U11" i="3"/>
  <c r="I75" i="3"/>
  <c r="Y8" i="3"/>
  <c r="V8" i="3"/>
  <c r="AA8" i="3"/>
  <c r="W8" i="3"/>
  <c r="U8" i="3"/>
  <c r="X8" i="3"/>
  <c r="I72" i="3"/>
  <c r="K72" i="3" s="1"/>
  <c r="Y17" i="3"/>
  <c r="V17" i="3"/>
  <c r="U17" i="3"/>
  <c r="W17" i="3"/>
  <c r="AA17" i="3"/>
  <c r="X17" i="3"/>
  <c r="I81" i="3"/>
  <c r="Y19" i="3"/>
  <c r="V19" i="3"/>
  <c r="W19" i="3"/>
  <c r="X19" i="3"/>
  <c r="U19" i="3"/>
  <c r="I83" i="3"/>
  <c r="AH317" i="2"/>
  <c r="AL317" i="2" s="1"/>
  <c r="AP317" i="2" s="1"/>
  <c r="AG317" i="2"/>
  <c r="AK317" i="2" s="1"/>
  <c r="AO317" i="2" s="1"/>
  <c r="AF317" i="2"/>
  <c r="AJ317" i="2" s="1"/>
  <c r="AN317" i="2" s="1"/>
  <c r="AE317" i="2"/>
  <c r="AI317" i="2" s="1"/>
  <c r="AM317" i="2" s="1"/>
  <c r="AH316" i="2"/>
  <c r="AL316" i="2" s="1"/>
  <c r="AP316" i="2" s="1"/>
  <c r="AG316" i="2"/>
  <c r="AK316" i="2" s="1"/>
  <c r="AO316" i="2" s="1"/>
  <c r="AF316" i="2"/>
  <c r="AJ316" i="2" s="1"/>
  <c r="AN316" i="2" s="1"/>
  <c r="AE316" i="2"/>
  <c r="AI316" i="2" s="1"/>
  <c r="AM316" i="2" s="1"/>
  <c r="AH315" i="2"/>
  <c r="AL315" i="2" s="1"/>
  <c r="AP315" i="2" s="1"/>
  <c r="AG315" i="2"/>
  <c r="AK315" i="2" s="1"/>
  <c r="AO315" i="2" s="1"/>
  <c r="AF315" i="2"/>
  <c r="AJ315" i="2" s="1"/>
  <c r="AN315" i="2" s="1"/>
  <c r="AE315" i="2"/>
  <c r="AI315" i="2" s="1"/>
  <c r="AM315" i="2" s="1"/>
  <c r="AH314" i="2"/>
  <c r="AL314" i="2" s="1"/>
  <c r="AP314" i="2" s="1"/>
  <c r="AG314" i="2"/>
  <c r="AK314" i="2" s="1"/>
  <c r="AO314" i="2" s="1"/>
  <c r="AF314" i="2"/>
  <c r="AJ314" i="2" s="1"/>
  <c r="AN314" i="2" s="1"/>
  <c r="AE314" i="2"/>
  <c r="AI314" i="2" s="1"/>
  <c r="AM314" i="2" s="1"/>
  <c r="AH313" i="2"/>
  <c r="AL313" i="2" s="1"/>
  <c r="AP313" i="2" s="1"/>
  <c r="AG313" i="2"/>
  <c r="AK313" i="2" s="1"/>
  <c r="AO313" i="2" s="1"/>
  <c r="AF313" i="2"/>
  <c r="AJ313" i="2" s="1"/>
  <c r="AN313" i="2" s="1"/>
  <c r="AE313" i="2"/>
  <c r="AI313" i="2" s="1"/>
  <c r="AM313" i="2" s="1"/>
  <c r="AH312" i="2"/>
  <c r="AL312" i="2" s="1"/>
  <c r="AP312" i="2" s="1"/>
  <c r="AG312" i="2"/>
  <c r="AK312" i="2" s="1"/>
  <c r="AO312" i="2" s="1"/>
  <c r="AF312" i="2"/>
  <c r="AJ312" i="2" s="1"/>
  <c r="AN312" i="2" s="1"/>
  <c r="AE312" i="2"/>
  <c r="AI312" i="2" s="1"/>
  <c r="AM312" i="2" s="1"/>
  <c r="AH311" i="2"/>
  <c r="AL311" i="2" s="1"/>
  <c r="AP311" i="2" s="1"/>
  <c r="AG311" i="2"/>
  <c r="AK311" i="2" s="1"/>
  <c r="AO311" i="2" s="1"/>
  <c r="AF311" i="2"/>
  <c r="AJ311" i="2" s="1"/>
  <c r="AN311" i="2" s="1"/>
  <c r="AE311" i="2"/>
  <c r="AI311" i="2" s="1"/>
  <c r="AM311" i="2" s="1"/>
  <c r="AC19" i="3" l="1"/>
  <c r="AB17" i="3"/>
  <c r="AA19" i="3"/>
  <c r="AD11" i="3"/>
  <c r="AA10" i="3"/>
  <c r="AD19" i="3"/>
  <c r="AE17" i="3"/>
  <c r="K74" i="3"/>
  <c r="K75" i="3"/>
  <c r="AC20" i="3"/>
  <c r="AA20" i="3"/>
  <c r="AB14" i="3"/>
  <c r="AE19" i="3"/>
  <c r="AB19" i="3"/>
  <c r="K81" i="3"/>
  <c r="AB11" i="3"/>
  <c r="AC10" i="3"/>
  <c r="AB10" i="3"/>
  <c r="K78" i="3"/>
  <c r="AA14" i="3"/>
  <c r="AA21" i="3"/>
  <c r="AD17" i="3"/>
  <c r="AE8" i="3"/>
  <c r="AE11" i="3"/>
  <c r="K84" i="3"/>
  <c r="AD20" i="3"/>
  <c r="AE7" i="3"/>
  <c r="AB7" i="3"/>
  <c r="Z7" i="3"/>
  <c r="K71" i="3"/>
  <c r="AC16" i="3"/>
  <c r="AC6" i="3"/>
  <c r="AC14" i="3"/>
  <c r="AD14" i="3"/>
  <c r="Z16" i="3"/>
  <c r="AD16" i="3"/>
  <c r="Z21" i="3"/>
  <c r="Z18" i="3"/>
  <c r="Z20" i="3"/>
  <c r="K70" i="3"/>
  <c r="AA6" i="3"/>
  <c r="AD5" i="3"/>
  <c r="AC18" i="3"/>
  <c r="AD18" i="3"/>
  <c r="AE15" i="3"/>
  <c r="AB15" i="3"/>
  <c r="K77" i="3"/>
  <c r="AA13" i="3"/>
  <c r="AE12" i="3"/>
  <c r="AB9" i="3"/>
  <c r="AA9" i="3"/>
  <c r="AD9" i="3"/>
  <c r="AC5" i="3"/>
  <c r="AA18" i="3"/>
  <c r="K79" i="3"/>
  <c r="Z13" i="3"/>
  <c r="AC13" i="3"/>
  <c r="AA12" i="3"/>
  <c r="AB12" i="3"/>
  <c r="AD12" i="3"/>
  <c r="AE9" i="3"/>
  <c r="K83" i="3"/>
  <c r="Z17" i="3"/>
  <c r="AC17" i="3"/>
  <c r="AC8" i="3"/>
  <c r="AB8" i="3"/>
  <c r="AD8" i="3"/>
  <c r="Z11" i="3"/>
  <c r="AC11" i="3"/>
  <c r="AA11" i="3"/>
  <c r="Z10" i="3"/>
  <c r="AD10" i="3"/>
  <c r="AB20" i="3"/>
  <c r="AE20" i="3"/>
  <c r="AD7" i="3"/>
  <c r="AE14" i="3"/>
  <c r="Z14" i="3"/>
  <c r="K80" i="3"/>
  <c r="AA16" i="3"/>
  <c r="AC21" i="3"/>
  <c r="AB6" i="3"/>
  <c r="AD6" i="3"/>
  <c r="AE6" i="3"/>
  <c r="Z5" i="3"/>
  <c r="AA5" i="3"/>
  <c r="K82" i="3"/>
  <c r="AE18" i="3"/>
  <c r="F42" i="3"/>
  <c r="E42" i="3" s="1"/>
  <c r="Z15" i="3"/>
  <c r="AC15" i="3"/>
  <c r="AA15" i="3"/>
  <c r="AB13" i="3"/>
  <c r="AD13" i="3"/>
  <c r="AC12" i="3"/>
  <c r="K73" i="3"/>
  <c r="Z9" i="3"/>
  <c r="Z19" i="3"/>
  <c r="AF19" i="3"/>
  <c r="Z8" i="3"/>
  <c r="AB16" i="3"/>
  <c r="AE16" i="3"/>
  <c r="AB21" i="3"/>
  <c r="AE21" i="3"/>
  <c r="AD21" i="3"/>
  <c r="Z6" i="3"/>
  <c r="AB5" i="3"/>
  <c r="AE5" i="3"/>
  <c r="AB18" i="3"/>
  <c r="AD15" i="3"/>
  <c r="AE13" i="3"/>
  <c r="K76" i="3"/>
  <c r="Z12" i="3"/>
  <c r="AC9" i="3"/>
  <c r="AQ316" i="2"/>
  <c r="AP328" i="2" s="1"/>
  <c r="AQ312" i="2"/>
  <c r="AP324" i="2" s="1"/>
  <c r="AQ311" i="2"/>
  <c r="AP323" i="2" s="1"/>
  <c r="AQ313" i="2"/>
  <c r="AP325" i="2" s="1"/>
  <c r="AQ314" i="2"/>
  <c r="AP326" i="2" s="1"/>
  <c r="AQ315" i="2"/>
  <c r="AP327" i="2" s="1"/>
  <c r="AQ317" i="2"/>
  <c r="AE290" i="2"/>
  <c r="AI290" i="2" s="1"/>
  <c r="AM290" i="2" s="1"/>
  <c r="AF290" i="2"/>
  <c r="AJ290" i="2" s="1"/>
  <c r="AN290" i="2" s="1"/>
  <c r="AG290" i="2"/>
  <c r="AK290" i="2" s="1"/>
  <c r="AO290" i="2" s="1"/>
  <c r="AH290" i="2"/>
  <c r="AL290" i="2" s="1"/>
  <c r="AP290" i="2" s="1"/>
  <c r="AE291" i="2"/>
  <c r="AI291" i="2" s="1"/>
  <c r="AM291" i="2" s="1"/>
  <c r="AF291" i="2"/>
  <c r="AJ291" i="2" s="1"/>
  <c r="AN291" i="2" s="1"/>
  <c r="AG291" i="2"/>
  <c r="AK291" i="2" s="1"/>
  <c r="AO291" i="2" s="1"/>
  <c r="AH291" i="2"/>
  <c r="AL291" i="2" s="1"/>
  <c r="AP291" i="2" s="1"/>
  <c r="AE292" i="2"/>
  <c r="AI292" i="2" s="1"/>
  <c r="AM292" i="2" s="1"/>
  <c r="AF292" i="2"/>
  <c r="AJ292" i="2" s="1"/>
  <c r="AN292" i="2" s="1"/>
  <c r="AG292" i="2"/>
  <c r="AK292" i="2" s="1"/>
  <c r="AO292" i="2" s="1"/>
  <c r="AH292" i="2"/>
  <c r="AL292" i="2" s="1"/>
  <c r="AP292" i="2" s="1"/>
  <c r="AE293" i="2"/>
  <c r="AI293" i="2" s="1"/>
  <c r="AM293" i="2" s="1"/>
  <c r="AF293" i="2"/>
  <c r="AJ293" i="2" s="1"/>
  <c r="AN293" i="2" s="1"/>
  <c r="AG293" i="2"/>
  <c r="AK293" i="2" s="1"/>
  <c r="AO293" i="2" s="1"/>
  <c r="AH293" i="2"/>
  <c r="AL293" i="2" s="1"/>
  <c r="AP293" i="2" s="1"/>
  <c r="AE294" i="2"/>
  <c r="AI294" i="2" s="1"/>
  <c r="AM294" i="2" s="1"/>
  <c r="AF294" i="2"/>
  <c r="AJ294" i="2" s="1"/>
  <c r="AN294" i="2" s="1"/>
  <c r="AG294" i="2"/>
  <c r="AK294" i="2" s="1"/>
  <c r="AO294" i="2" s="1"/>
  <c r="AH294" i="2"/>
  <c r="AL294" i="2" s="1"/>
  <c r="AP294" i="2" s="1"/>
  <c r="AE295" i="2"/>
  <c r="AI295" i="2" s="1"/>
  <c r="AM295" i="2" s="1"/>
  <c r="AF295" i="2"/>
  <c r="AJ295" i="2" s="1"/>
  <c r="AN295" i="2" s="1"/>
  <c r="AG295" i="2"/>
  <c r="AK295" i="2" s="1"/>
  <c r="AO295" i="2" s="1"/>
  <c r="AH295" i="2"/>
  <c r="AL295" i="2" s="1"/>
  <c r="AP295" i="2" s="1"/>
  <c r="AF289" i="2"/>
  <c r="AJ289" i="2" s="1"/>
  <c r="AN289" i="2" s="1"/>
  <c r="AG289" i="2"/>
  <c r="AK289" i="2" s="1"/>
  <c r="AO289" i="2" s="1"/>
  <c r="AH289" i="2"/>
  <c r="AL289" i="2" s="1"/>
  <c r="AP289" i="2" s="1"/>
  <c r="AE289" i="2"/>
  <c r="AI289" i="2" s="1"/>
  <c r="AM289" i="2" s="1"/>
  <c r="AJ5" i="2"/>
  <c r="AO5" i="2" s="1"/>
  <c r="AJ6" i="2"/>
  <c r="AJ7" i="2"/>
  <c r="AO7" i="2" s="1"/>
  <c r="AJ8" i="2"/>
  <c r="AO8" i="2" s="1"/>
  <c r="AJ9" i="2"/>
  <c r="AO9" i="2" s="1"/>
  <c r="AJ10" i="2"/>
  <c r="AO10" i="2" s="1"/>
  <c r="AJ11" i="2"/>
  <c r="AO11" i="2" s="1"/>
  <c r="AJ12" i="2"/>
  <c r="AO12" i="2" s="1"/>
  <c r="AJ13" i="2"/>
  <c r="AO13" i="2" s="1"/>
  <c r="AJ14" i="2"/>
  <c r="AJ15" i="2"/>
  <c r="AO15" i="2" s="1"/>
  <c r="AJ16" i="2"/>
  <c r="AO16" i="2" s="1"/>
  <c r="AJ17" i="2"/>
  <c r="AO17" i="2" s="1"/>
  <c r="AJ18" i="2"/>
  <c r="AO18" i="2" s="1"/>
  <c r="AJ19" i="2"/>
  <c r="AO19" i="2" s="1"/>
  <c r="AJ20" i="2"/>
  <c r="AO20" i="2" s="1"/>
  <c r="AJ21" i="2"/>
  <c r="AO21" i="2" s="1"/>
  <c r="AJ40" i="2"/>
  <c r="AJ42" i="2" s="1"/>
  <c r="AJ44" i="2" s="1"/>
  <c r="AJ46" i="2" s="1"/>
  <c r="AJ48" i="2" s="1"/>
  <c r="AJ50" i="2" s="1"/>
  <c r="AJ52" i="2" s="1"/>
  <c r="AJ54" i="2" s="1"/>
  <c r="AJ56" i="2" s="1"/>
  <c r="AJ58" i="2" s="1"/>
  <c r="AJ60" i="2" s="1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O6" i="2"/>
  <c r="AO14" i="2"/>
  <c r="Q324" i="2"/>
  <c r="Q325" i="2"/>
  <c r="Q326" i="2"/>
  <c r="Q327" i="2"/>
  <c r="Q328" i="2"/>
  <c r="Q329" i="2"/>
  <c r="Q323" i="2"/>
  <c r="AF10" i="3" l="1"/>
  <c r="AF17" i="3"/>
  <c r="AF7" i="3"/>
  <c r="AQ289" i="2"/>
  <c r="AQ323" i="2" s="1"/>
  <c r="AQ295" i="2"/>
  <c r="AQ294" i="2"/>
  <c r="AQ328" i="2" s="1"/>
  <c r="AQ293" i="2"/>
  <c r="AQ327" i="2" s="1"/>
  <c r="AQ292" i="2"/>
  <c r="AQ326" i="2" s="1"/>
  <c r="AQ291" i="2"/>
  <c r="AQ325" i="2" s="1"/>
  <c r="AQ290" i="2"/>
  <c r="AQ324" i="2" s="1"/>
  <c r="AF14" i="3"/>
  <c r="AF11" i="3"/>
  <c r="AF9" i="3"/>
  <c r="AF21" i="3"/>
  <c r="AF20" i="3"/>
  <c r="AF8" i="3"/>
  <c r="AF13" i="3"/>
  <c r="F44" i="3"/>
  <c r="E44" i="3" s="1"/>
  <c r="AF12" i="3"/>
  <c r="AF18" i="3"/>
  <c r="AF15" i="3"/>
  <c r="AF5" i="3"/>
  <c r="AF16" i="3"/>
  <c r="AF6" i="3"/>
  <c r="H351" i="2"/>
  <c r="F353" i="2"/>
  <c r="F352" i="2"/>
  <c r="E355" i="2"/>
  <c r="D355" i="2"/>
  <c r="C355" i="2"/>
  <c r="C354" i="2"/>
  <c r="F355" i="2"/>
  <c r="F46" i="3" l="1"/>
  <c r="E46" i="3" s="1"/>
  <c r="AA220" i="2"/>
  <c r="Z220" i="2"/>
  <c r="Y220" i="2"/>
  <c r="X220" i="2"/>
  <c r="W220" i="2"/>
  <c r="AA219" i="2"/>
  <c r="Z219" i="2"/>
  <c r="Y219" i="2"/>
  <c r="X219" i="2"/>
  <c r="W219" i="2"/>
  <c r="AA218" i="2"/>
  <c r="Z218" i="2"/>
  <c r="Y218" i="2"/>
  <c r="X218" i="2"/>
  <c r="W218" i="2"/>
  <c r="AA217" i="2"/>
  <c r="Z217" i="2"/>
  <c r="Y217" i="2"/>
  <c r="X217" i="2"/>
  <c r="W217" i="2"/>
  <c r="AA216" i="2"/>
  <c r="Z216" i="2"/>
  <c r="Y216" i="2"/>
  <c r="X216" i="2"/>
  <c r="W216" i="2"/>
  <c r="AA215" i="2"/>
  <c r="Z215" i="2"/>
  <c r="Y215" i="2"/>
  <c r="X215" i="2"/>
  <c r="W215" i="2"/>
  <c r="AA214" i="2"/>
  <c r="Z214" i="2"/>
  <c r="Y214" i="2"/>
  <c r="X214" i="2"/>
  <c r="W214" i="2"/>
  <c r="AA210" i="2"/>
  <c r="Z210" i="2"/>
  <c r="Y210" i="2"/>
  <c r="X210" i="2"/>
  <c r="W210" i="2"/>
  <c r="AA209" i="2"/>
  <c r="Z209" i="2"/>
  <c r="Y209" i="2"/>
  <c r="X209" i="2"/>
  <c r="W209" i="2"/>
  <c r="AA208" i="2"/>
  <c r="Z208" i="2"/>
  <c r="Y208" i="2"/>
  <c r="X208" i="2"/>
  <c r="W208" i="2"/>
  <c r="AA207" i="2"/>
  <c r="Z207" i="2"/>
  <c r="Y207" i="2"/>
  <c r="X207" i="2"/>
  <c r="W207" i="2"/>
  <c r="AA206" i="2"/>
  <c r="Z206" i="2"/>
  <c r="Y206" i="2"/>
  <c r="X206" i="2"/>
  <c r="W206" i="2"/>
  <c r="AA205" i="2"/>
  <c r="Z205" i="2"/>
  <c r="Y205" i="2"/>
  <c r="X205" i="2"/>
  <c r="W205" i="2"/>
  <c r="AA204" i="2"/>
  <c r="Z204" i="2"/>
  <c r="Y204" i="2"/>
  <c r="X204" i="2"/>
  <c r="W204" i="2"/>
  <c r="EE11" i="2"/>
  <c r="EJ11" i="2" s="1"/>
  <c r="EO11" i="2" s="1"/>
  <c r="ED11" i="2"/>
  <c r="EI11" i="2" s="1"/>
  <c r="EN11" i="2" s="1"/>
  <c r="EC11" i="2"/>
  <c r="EH11" i="2" s="1"/>
  <c r="EM11" i="2" s="1"/>
  <c r="EB11" i="2"/>
  <c r="EG11" i="2" s="1"/>
  <c r="EL11" i="2" s="1"/>
  <c r="EA11" i="2"/>
  <c r="EF11" i="2" s="1"/>
  <c r="EK11" i="2" s="1"/>
  <c r="EE10" i="2"/>
  <c r="EJ10" i="2" s="1"/>
  <c r="EO10" i="2" s="1"/>
  <c r="ED10" i="2"/>
  <c r="EI10" i="2" s="1"/>
  <c r="EN10" i="2" s="1"/>
  <c r="EC10" i="2"/>
  <c r="EH10" i="2" s="1"/>
  <c r="EM10" i="2" s="1"/>
  <c r="EB10" i="2"/>
  <c r="EG10" i="2" s="1"/>
  <c r="EL10" i="2" s="1"/>
  <c r="EA10" i="2"/>
  <c r="EF10" i="2" s="1"/>
  <c r="EK10" i="2" s="1"/>
  <c r="EE9" i="2"/>
  <c r="EJ9" i="2" s="1"/>
  <c r="EO9" i="2" s="1"/>
  <c r="ED9" i="2"/>
  <c r="EI9" i="2" s="1"/>
  <c r="EN9" i="2" s="1"/>
  <c r="EC9" i="2"/>
  <c r="EH9" i="2" s="1"/>
  <c r="EM9" i="2" s="1"/>
  <c r="EB9" i="2"/>
  <c r="EG9" i="2" s="1"/>
  <c r="EL9" i="2" s="1"/>
  <c r="EA9" i="2"/>
  <c r="EF9" i="2" s="1"/>
  <c r="EK9" i="2" s="1"/>
  <c r="EE8" i="2"/>
  <c r="EJ8" i="2" s="1"/>
  <c r="EO8" i="2" s="1"/>
  <c r="ED8" i="2"/>
  <c r="EI8" i="2" s="1"/>
  <c r="EN8" i="2" s="1"/>
  <c r="EC8" i="2"/>
  <c r="EH8" i="2" s="1"/>
  <c r="EM8" i="2" s="1"/>
  <c r="EB8" i="2"/>
  <c r="EG8" i="2" s="1"/>
  <c r="EL8" i="2" s="1"/>
  <c r="EA8" i="2"/>
  <c r="EF8" i="2" s="1"/>
  <c r="EK8" i="2" s="1"/>
  <c r="EE7" i="2"/>
  <c r="EJ7" i="2" s="1"/>
  <c r="EO7" i="2" s="1"/>
  <c r="ED7" i="2"/>
  <c r="EI7" i="2" s="1"/>
  <c r="EN7" i="2" s="1"/>
  <c r="EC7" i="2"/>
  <c r="EH7" i="2" s="1"/>
  <c r="EM7" i="2" s="1"/>
  <c r="EB7" i="2"/>
  <c r="EG7" i="2" s="1"/>
  <c r="EL7" i="2" s="1"/>
  <c r="EA7" i="2"/>
  <c r="EF7" i="2" s="1"/>
  <c r="EK7" i="2" s="1"/>
  <c r="EE6" i="2"/>
  <c r="EJ6" i="2" s="1"/>
  <c r="EO6" i="2" s="1"/>
  <c r="ED6" i="2"/>
  <c r="EI6" i="2" s="1"/>
  <c r="EN6" i="2" s="1"/>
  <c r="EC6" i="2"/>
  <c r="EH6" i="2" s="1"/>
  <c r="EM6" i="2" s="1"/>
  <c r="EB6" i="2"/>
  <c r="EG6" i="2" s="1"/>
  <c r="EL6" i="2" s="1"/>
  <c r="EA6" i="2"/>
  <c r="EF6" i="2" s="1"/>
  <c r="EK6" i="2" s="1"/>
  <c r="EE5" i="2"/>
  <c r="EJ5" i="2" s="1"/>
  <c r="EO5" i="2" s="1"/>
  <c r="ED5" i="2"/>
  <c r="EI5" i="2" s="1"/>
  <c r="EN5" i="2" s="1"/>
  <c r="EC5" i="2"/>
  <c r="EH5" i="2" s="1"/>
  <c r="EM5" i="2" s="1"/>
  <c r="EB5" i="2"/>
  <c r="EG5" i="2" s="1"/>
  <c r="EL5" i="2" s="1"/>
  <c r="EA5" i="2"/>
  <c r="EF5" i="2" s="1"/>
  <c r="EK5" i="2" s="1"/>
  <c r="EC126" i="2"/>
  <c r="EA126" i="2"/>
  <c r="EC125" i="2"/>
  <c r="EA125" i="2"/>
  <c r="EC124" i="2"/>
  <c r="EA124" i="2"/>
  <c r="EC123" i="2"/>
  <c r="EA123" i="2"/>
  <c r="EC122" i="2"/>
  <c r="EA122" i="2"/>
  <c r="EC121" i="2"/>
  <c r="EA121" i="2"/>
  <c r="EC120" i="2"/>
  <c r="ED120" i="2" s="1"/>
  <c r="EI120" i="2" s="1"/>
  <c r="ES120" i="2" s="1"/>
  <c r="EA120" i="2"/>
  <c r="DY76" i="2"/>
  <c r="DZ76" i="2" s="1"/>
  <c r="DV76" i="2"/>
  <c r="DY75" i="2"/>
  <c r="DZ75" i="2" s="1"/>
  <c r="EB75" i="2" s="1"/>
  <c r="DV75" i="2"/>
  <c r="DY74" i="2"/>
  <c r="DZ74" i="2" s="1"/>
  <c r="EB74" i="2" s="1"/>
  <c r="DV74" i="2"/>
  <c r="DY73" i="2"/>
  <c r="DZ73" i="2" s="1"/>
  <c r="EB73" i="2" s="1"/>
  <c r="DV73" i="2"/>
  <c r="DY72" i="2"/>
  <c r="DZ72" i="2" s="1"/>
  <c r="EB72" i="2" s="1"/>
  <c r="DV72" i="2"/>
  <c r="DY71" i="2"/>
  <c r="DZ71" i="2" s="1"/>
  <c r="EB71" i="2" s="1"/>
  <c r="DV71" i="2"/>
  <c r="DY70" i="2"/>
  <c r="DZ70" i="2" s="1"/>
  <c r="EB70" i="2" s="1"/>
  <c r="DV70" i="2"/>
  <c r="EC41" i="2"/>
  <c r="EC35" i="2"/>
  <c r="EC29" i="2"/>
  <c r="EQ40" i="2"/>
  <c r="EA40" i="2"/>
  <c r="DZ40" i="2" s="1"/>
  <c r="EC39" i="2"/>
  <c r="EQ38" i="2"/>
  <c r="DZ38" i="2"/>
  <c r="EC37" i="2"/>
  <c r="EQ36" i="2"/>
  <c r="DZ36" i="2"/>
  <c r="EQ34" i="2"/>
  <c r="DZ34" i="2"/>
  <c r="EC33" i="2"/>
  <c r="EQ32" i="2"/>
  <c r="EC31" i="2"/>
  <c r="EQ30" i="2"/>
  <c r="EQ28" i="2"/>
  <c r="DX27" i="2"/>
  <c r="DX28" i="2" s="1"/>
  <c r="F48" i="3" l="1"/>
  <c r="E48" i="3" s="1"/>
  <c r="EA73" i="2"/>
  <c r="ED121" i="2"/>
  <c r="ED123" i="2"/>
  <c r="EA70" i="2"/>
  <c r="EA72" i="2"/>
  <c r="ED124" i="2"/>
  <c r="ED126" i="2"/>
  <c r="EG120" i="2"/>
  <c r="EH120" i="2"/>
  <c r="ER120" i="2" s="1"/>
  <c r="AG214" i="2"/>
  <c r="AG217" i="2"/>
  <c r="AG218" i="2"/>
  <c r="EA75" i="2"/>
  <c r="EA71" i="2"/>
  <c r="EK120" i="2"/>
  <c r="EA74" i="2"/>
  <c r="EJ120" i="2"/>
  <c r="EI121" i="2"/>
  <c r="ES121" i="2" s="1"/>
  <c r="EA76" i="2"/>
  <c r="EB76" i="2"/>
  <c r="ED122" i="2"/>
  <c r="AG207" i="2"/>
  <c r="AG204" i="2"/>
  <c r="AG208" i="2"/>
  <c r="AG219" i="2"/>
  <c r="AG215" i="2"/>
  <c r="AG216" i="2"/>
  <c r="AG220" i="2"/>
  <c r="AG205" i="2"/>
  <c r="AG209" i="2"/>
  <c r="AG206" i="2"/>
  <c r="AG210" i="2"/>
  <c r="DX120" i="2"/>
  <c r="ED125" i="2"/>
  <c r="CW126" i="2"/>
  <c r="CU126" i="2"/>
  <c r="CW125" i="2"/>
  <c r="CU125" i="2"/>
  <c r="CW124" i="2"/>
  <c r="CU124" i="2"/>
  <c r="CW123" i="2"/>
  <c r="CU123" i="2"/>
  <c r="CW122" i="2"/>
  <c r="CU122" i="2"/>
  <c r="CW121" i="2"/>
  <c r="CU121" i="2"/>
  <c r="CW120" i="2"/>
  <c r="CX120" i="2" s="1"/>
  <c r="CU120" i="2"/>
  <c r="CQ41" i="2"/>
  <c r="DX121" i="2" l="1"/>
  <c r="EE121" i="2" s="1"/>
  <c r="F50" i="3"/>
  <c r="E50" i="3" s="1"/>
  <c r="EJ121" i="2"/>
  <c r="ET121" i="2" s="1"/>
  <c r="EG121" i="2"/>
  <c r="EG122" i="2" s="1"/>
  <c r="EG123" i="2" s="1"/>
  <c r="EG124" i="2" s="1"/>
  <c r="EG125" i="2" s="1"/>
  <c r="EG126" i="2" s="1"/>
  <c r="EH121" i="2"/>
  <c r="EH122" i="2" s="1"/>
  <c r="EH123" i="2" s="1"/>
  <c r="EH124" i="2" s="1"/>
  <c r="EH125" i="2" s="1"/>
  <c r="EH126" i="2" s="1"/>
  <c r="CX122" i="2"/>
  <c r="CX126" i="2"/>
  <c r="EK121" i="2"/>
  <c r="EU121" i="2" s="1"/>
  <c r="CX121" i="2"/>
  <c r="CX124" i="2"/>
  <c r="CX125" i="2"/>
  <c r="DB120" i="2"/>
  <c r="DL120" i="2" s="1"/>
  <c r="DA120" i="2"/>
  <c r="DA121" i="2" s="1"/>
  <c r="DC120" i="2"/>
  <c r="DM120" i="2" s="1"/>
  <c r="DD120" i="2"/>
  <c r="DN120" i="2" s="1"/>
  <c r="DE120" i="2"/>
  <c r="DO120" i="2" s="1"/>
  <c r="EU120" i="2"/>
  <c r="ET120" i="2"/>
  <c r="CX123" i="2"/>
  <c r="EI122" i="2"/>
  <c r="EJ122" i="2"/>
  <c r="EJ123" i="2" s="1"/>
  <c r="EJ124" i="2" s="1"/>
  <c r="EJ125" i="2" s="1"/>
  <c r="EJ126" i="2" s="1"/>
  <c r="DW121" i="2"/>
  <c r="DV121" i="2" s="1"/>
  <c r="DX122" i="2"/>
  <c r="EQ120" i="2"/>
  <c r="EE120" i="2"/>
  <c r="DW120" i="2"/>
  <c r="DV120" i="2" s="1"/>
  <c r="CR120" i="2"/>
  <c r="CQ35" i="2"/>
  <c r="CQ29" i="2"/>
  <c r="CM76" i="2"/>
  <c r="CN76" i="2" s="1"/>
  <c r="CJ76" i="2"/>
  <c r="CM75" i="2"/>
  <c r="CN75" i="2" s="1"/>
  <c r="CJ75" i="2"/>
  <c r="CM74" i="2"/>
  <c r="CJ74" i="2"/>
  <c r="CM73" i="2"/>
  <c r="CN73" i="2" s="1"/>
  <c r="CJ73" i="2"/>
  <c r="CM72" i="2"/>
  <c r="CN72" i="2" s="1"/>
  <c r="CJ72" i="2"/>
  <c r="CM71" i="2"/>
  <c r="CN71" i="2" s="1"/>
  <c r="CJ71" i="2"/>
  <c r="CM70" i="2"/>
  <c r="CJ70" i="2"/>
  <c r="CS11" i="2"/>
  <c r="CR11" i="2"/>
  <c r="CQ11" i="2"/>
  <c r="CP11" i="2"/>
  <c r="CU11" i="2" s="1"/>
  <c r="CZ11" i="2" s="1"/>
  <c r="CO11" i="2"/>
  <c r="CS10" i="2"/>
  <c r="CX10" i="2" s="1"/>
  <c r="DC10" i="2" s="1"/>
  <c r="CR10" i="2"/>
  <c r="CW10" i="2" s="1"/>
  <c r="DB10" i="2" s="1"/>
  <c r="CQ10" i="2"/>
  <c r="CV10" i="2" s="1"/>
  <c r="DA10" i="2" s="1"/>
  <c r="CP10" i="2"/>
  <c r="CU10" i="2" s="1"/>
  <c r="CZ10" i="2" s="1"/>
  <c r="CO10" i="2"/>
  <c r="CT10" i="2" s="1"/>
  <c r="CY10" i="2" s="1"/>
  <c r="CS9" i="2"/>
  <c r="CX9" i="2" s="1"/>
  <c r="DC9" i="2" s="1"/>
  <c r="CR9" i="2"/>
  <c r="CW9" i="2" s="1"/>
  <c r="DB9" i="2" s="1"/>
  <c r="CQ9" i="2"/>
  <c r="CV9" i="2" s="1"/>
  <c r="DA9" i="2" s="1"/>
  <c r="CP9" i="2"/>
  <c r="CU9" i="2" s="1"/>
  <c r="CZ9" i="2" s="1"/>
  <c r="CO9" i="2"/>
  <c r="CT9" i="2" s="1"/>
  <c r="CY9" i="2" s="1"/>
  <c r="CS8" i="2"/>
  <c r="CX8" i="2" s="1"/>
  <c r="DC8" i="2" s="1"/>
  <c r="CR8" i="2"/>
  <c r="CQ8" i="2"/>
  <c r="CV8" i="2" s="1"/>
  <c r="DA8" i="2" s="1"/>
  <c r="CP8" i="2"/>
  <c r="CO8" i="2"/>
  <c r="CT8" i="2" s="1"/>
  <c r="CY8" i="2" s="1"/>
  <c r="CS7" i="2"/>
  <c r="CR7" i="2"/>
  <c r="CW7" i="2" s="1"/>
  <c r="DB7" i="2" s="1"/>
  <c r="CQ7" i="2"/>
  <c r="CP7" i="2"/>
  <c r="CU7" i="2" s="1"/>
  <c r="CZ7" i="2" s="1"/>
  <c r="CO7" i="2"/>
  <c r="CS6" i="2"/>
  <c r="CR6" i="2"/>
  <c r="CQ6" i="2"/>
  <c r="CV6" i="2" s="1"/>
  <c r="DA6" i="2" s="1"/>
  <c r="CP6" i="2"/>
  <c r="CO6" i="2"/>
  <c r="CS5" i="2"/>
  <c r="CX5" i="2" s="1"/>
  <c r="DC5" i="2" s="1"/>
  <c r="CR5" i="2"/>
  <c r="CW5" i="2" s="1"/>
  <c r="DB5" i="2" s="1"/>
  <c r="CQ5" i="2"/>
  <c r="CV5" i="2" s="1"/>
  <c r="DA5" i="2" s="1"/>
  <c r="CP5" i="2"/>
  <c r="CO5" i="2"/>
  <c r="CT5" i="2" s="1"/>
  <c r="CY5" i="2" s="1"/>
  <c r="DE40" i="2"/>
  <c r="CO40" i="2"/>
  <c r="CQ39" i="2"/>
  <c r="DE38" i="2"/>
  <c r="CN38" i="2"/>
  <c r="CQ37" i="2"/>
  <c r="DE36" i="2"/>
  <c r="CN36" i="2"/>
  <c r="DE34" i="2"/>
  <c r="CN34" i="2"/>
  <c r="CQ33" i="2"/>
  <c r="DE32" i="2"/>
  <c r="CQ31" i="2"/>
  <c r="DE30" i="2"/>
  <c r="DE28" i="2"/>
  <c r="CL27" i="2"/>
  <c r="CL28" i="2" s="1"/>
  <c r="F52" i="3" l="1"/>
  <c r="E52" i="3" s="1"/>
  <c r="EK122" i="2"/>
  <c r="EK123" i="2" s="1"/>
  <c r="EK124" i="2" s="1"/>
  <c r="EK125" i="2" s="1"/>
  <c r="EK126" i="2" s="1"/>
  <c r="ET122" i="2"/>
  <c r="ER121" i="2"/>
  <c r="DE121" i="2"/>
  <c r="DE122" i="2" s="1"/>
  <c r="DE123" i="2" s="1"/>
  <c r="DE124" i="2" s="1"/>
  <c r="DE125" i="2" s="1"/>
  <c r="DE126" i="2" s="1"/>
  <c r="DA122" i="2"/>
  <c r="DA123" i="2" s="1"/>
  <c r="DA124" i="2" s="1"/>
  <c r="DA125" i="2" s="1"/>
  <c r="DA126" i="2" s="1"/>
  <c r="DD121" i="2"/>
  <c r="DN121" i="2" s="1"/>
  <c r="DK120" i="2"/>
  <c r="DP120" i="2" s="1"/>
  <c r="EV120" i="2"/>
  <c r="EU122" i="2"/>
  <c r="DB121" i="2"/>
  <c r="DB122" i="2" s="1"/>
  <c r="DB123" i="2" s="1"/>
  <c r="DB124" i="2" s="1"/>
  <c r="DB125" i="2" s="1"/>
  <c r="DB126" i="2" s="1"/>
  <c r="DC121" i="2"/>
  <c r="CO73" i="2"/>
  <c r="CO72" i="2"/>
  <c r="EI123" i="2"/>
  <c r="ES122" i="2"/>
  <c r="CO75" i="2"/>
  <c r="CO71" i="2"/>
  <c r="ET123" i="2"/>
  <c r="ER122" i="2"/>
  <c r="DW122" i="2"/>
  <c r="DV122" i="2" s="1"/>
  <c r="EE122" i="2"/>
  <c r="DX123" i="2"/>
  <c r="EQ121" i="2"/>
  <c r="CX11" i="2"/>
  <c r="DC11" i="2" s="1"/>
  <c r="CT11" i="2"/>
  <c r="CY11" i="2" s="1"/>
  <c r="CW8" i="2"/>
  <c r="DB8" i="2" s="1"/>
  <c r="CX7" i="2"/>
  <c r="DC7" i="2" s="1"/>
  <c r="CT7" i="2"/>
  <c r="CY7" i="2" s="1"/>
  <c r="CU6" i="2"/>
  <c r="CZ6" i="2" s="1"/>
  <c r="CU5" i="2"/>
  <c r="CZ5" i="2" s="1"/>
  <c r="CW11" i="2"/>
  <c r="DB11" i="2" s="1"/>
  <c r="CX6" i="2"/>
  <c r="DC6" i="2" s="1"/>
  <c r="CT6" i="2"/>
  <c r="CV11" i="2"/>
  <c r="DA11" i="2" s="1"/>
  <c r="CU8" i="2"/>
  <c r="CZ8" i="2" s="1"/>
  <c r="CV7" i="2"/>
  <c r="DA7" i="2" s="1"/>
  <c r="CW6" i="2"/>
  <c r="DB6" i="2" s="1"/>
  <c r="DK121" i="2"/>
  <c r="CY120" i="2"/>
  <c r="CQ120" i="2"/>
  <c r="CP120" i="2" s="1"/>
  <c r="CR121" i="2"/>
  <c r="CN74" i="2"/>
  <c r="CO74" i="2" s="1"/>
  <c r="CN70" i="2"/>
  <c r="CO70" i="2" s="1"/>
  <c r="CP71" i="2"/>
  <c r="CP76" i="2"/>
  <c r="CP73" i="2"/>
  <c r="CP72" i="2"/>
  <c r="CP75" i="2"/>
  <c r="CN40" i="2"/>
  <c r="B313" i="2"/>
  <c r="B314" i="2" s="1"/>
  <c r="AA200" i="2"/>
  <c r="Z200" i="2"/>
  <c r="Y200" i="2"/>
  <c r="X200" i="2"/>
  <c r="W200" i="2"/>
  <c r="AA199" i="2"/>
  <c r="Z199" i="2"/>
  <c r="Y199" i="2"/>
  <c r="X199" i="2"/>
  <c r="W199" i="2"/>
  <c r="AA198" i="2"/>
  <c r="Z198" i="2"/>
  <c r="Y198" i="2"/>
  <c r="X198" i="2"/>
  <c r="W198" i="2"/>
  <c r="AA197" i="2"/>
  <c r="Z197" i="2"/>
  <c r="Y197" i="2"/>
  <c r="X197" i="2"/>
  <c r="W197" i="2"/>
  <c r="AA196" i="2"/>
  <c r="Z196" i="2"/>
  <c r="Y196" i="2"/>
  <c r="X196" i="2"/>
  <c r="W196" i="2"/>
  <c r="AA195" i="2"/>
  <c r="Z195" i="2"/>
  <c r="Y195" i="2"/>
  <c r="X195" i="2"/>
  <c r="W195" i="2"/>
  <c r="AA194" i="2"/>
  <c r="Z194" i="2"/>
  <c r="Y194" i="2"/>
  <c r="X194" i="2"/>
  <c r="W194" i="2"/>
  <c r="AA193" i="2"/>
  <c r="Z193" i="2"/>
  <c r="Y193" i="2"/>
  <c r="X193" i="2"/>
  <c r="W193" i="2"/>
  <c r="AA192" i="2"/>
  <c r="Z192" i="2"/>
  <c r="Y192" i="2"/>
  <c r="X192" i="2"/>
  <c r="W192" i="2"/>
  <c r="AA191" i="2"/>
  <c r="Z191" i="2"/>
  <c r="Y191" i="2"/>
  <c r="X191" i="2"/>
  <c r="W191" i="2"/>
  <c r="AA190" i="2"/>
  <c r="Z190" i="2"/>
  <c r="Y190" i="2"/>
  <c r="X190" i="2"/>
  <c r="W190" i="2"/>
  <c r="BT130" i="2"/>
  <c r="BR130" i="2"/>
  <c r="BT129" i="2"/>
  <c r="BR129" i="2"/>
  <c r="BT128" i="2"/>
  <c r="BR128" i="2"/>
  <c r="BT127" i="2"/>
  <c r="BR127" i="2"/>
  <c r="BT126" i="2"/>
  <c r="BR126" i="2"/>
  <c r="BT125" i="2"/>
  <c r="BR125" i="2"/>
  <c r="BT124" i="2"/>
  <c r="BR124" i="2"/>
  <c r="BT123" i="2"/>
  <c r="BR123" i="2"/>
  <c r="BT122" i="2"/>
  <c r="BR122" i="2"/>
  <c r="BT121" i="2"/>
  <c r="BR121" i="2"/>
  <c r="BT120" i="2"/>
  <c r="BU120" i="2" s="1"/>
  <c r="BO120" i="2" s="1"/>
  <c r="BR120" i="2"/>
  <c r="CC48" i="2"/>
  <c r="DO121" i="2" l="1"/>
  <c r="F54" i="3"/>
  <c r="E54" i="3" s="1"/>
  <c r="EU123" i="2"/>
  <c r="DL122" i="2"/>
  <c r="EV121" i="2"/>
  <c r="DD122" i="2"/>
  <c r="DL121" i="2"/>
  <c r="CP74" i="2"/>
  <c r="DC122" i="2"/>
  <c r="DM121" i="2"/>
  <c r="BU121" i="2"/>
  <c r="BO121" i="2" s="1"/>
  <c r="BN121" i="2" s="1"/>
  <c r="BM121" i="2" s="1"/>
  <c r="BU125" i="2"/>
  <c r="BU129" i="2"/>
  <c r="CY6" i="2"/>
  <c r="BU123" i="2"/>
  <c r="BU127" i="2"/>
  <c r="ES123" i="2"/>
  <c r="EI124" i="2"/>
  <c r="EQ122" i="2"/>
  <c r="EV122" i="2" s="1"/>
  <c r="ET124" i="2"/>
  <c r="EE123" i="2"/>
  <c r="DW123" i="2"/>
  <c r="DV123" i="2" s="1"/>
  <c r="DX124" i="2"/>
  <c r="EU124" i="2"/>
  <c r="ER123" i="2"/>
  <c r="CY121" i="2"/>
  <c r="CQ121" i="2"/>
  <c r="CP121" i="2" s="1"/>
  <c r="CR122" i="2"/>
  <c r="DK122" i="2"/>
  <c r="DO122" i="2"/>
  <c r="DL123" i="2"/>
  <c r="CP70" i="2"/>
  <c r="CB120" i="2"/>
  <c r="CL120" i="2" s="1"/>
  <c r="BX120" i="2"/>
  <c r="CH120" i="2" s="1"/>
  <c r="CA120" i="2"/>
  <c r="CK120" i="2" s="1"/>
  <c r="BZ120" i="2"/>
  <c r="CJ120" i="2" s="1"/>
  <c r="BY120" i="2"/>
  <c r="AG191" i="2"/>
  <c r="AG195" i="2"/>
  <c r="AG196" i="2"/>
  <c r="AG192" i="2"/>
  <c r="AG199" i="2"/>
  <c r="AG200" i="2"/>
  <c r="AG190" i="2"/>
  <c r="AG193" i="2"/>
  <c r="AG194" i="2"/>
  <c r="AG197" i="2"/>
  <c r="AG198" i="2"/>
  <c r="BU124" i="2"/>
  <c r="BU128" i="2"/>
  <c r="BV121" i="2"/>
  <c r="BV120" i="2"/>
  <c r="BN120" i="2"/>
  <c r="BM120" i="2" s="1"/>
  <c r="BU122" i="2"/>
  <c r="BU126" i="2"/>
  <c r="BU130" i="2"/>
  <c r="BO49" i="2"/>
  <c r="BO47" i="2"/>
  <c r="BO41" i="2"/>
  <c r="F56" i="3" l="1"/>
  <c r="E56" i="3" s="1"/>
  <c r="DP121" i="2"/>
  <c r="DN122" i="2"/>
  <c r="DD123" i="2"/>
  <c r="CB121" i="2"/>
  <c r="CL121" i="2" s="1"/>
  <c r="BX121" i="2"/>
  <c r="BX122" i="2" s="1"/>
  <c r="DC123" i="2"/>
  <c r="DM122" i="2"/>
  <c r="DP122" i="2" s="1"/>
  <c r="CA121" i="2"/>
  <c r="CK121" i="2" s="1"/>
  <c r="EI125" i="2"/>
  <c r="ES124" i="2"/>
  <c r="EE124" i="2"/>
  <c r="DW124" i="2"/>
  <c r="DV124" i="2" s="1"/>
  <c r="DX125" i="2"/>
  <c r="ER124" i="2"/>
  <c r="EQ123" i="2"/>
  <c r="EV123" i="2" s="1"/>
  <c r="EU126" i="2"/>
  <c r="EU125" i="2"/>
  <c r="ET125" i="2"/>
  <c r="ET126" i="2"/>
  <c r="DK123" i="2"/>
  <c r="CQ122" i="2"/>
  <c r="CP122" i="2" s="1"/>
  <c r="CY122" i="2"/>
  <c r="CR123" i="2"/>
  <c r="DO123" i="2"/>
  <c r="DL124" i="2"/>
  <c r="BO122" i="2"/>
  <c r="BO123" i="2" s="1"/>
  <c r="BN123" i="2" s="1"/>
  <c r="BM123" i="2" s="1"/>
  <c r="CI120" i="2"/>
  <c r="CM120" i="2" s="1"/>
  <c r="BY121" i="2"/>
  <c r="BY122" i="2" s="1"/>
  <c r="BY123" i="2" s="1"/>
  <c r="BY124" i="2" s="1"/>
  <c r="BY125" i="2" s="1"/>
  <c r="BY126" i="2" s="1"/>
  <c r="BY127" i="2" s="1"/>
  <c r="BY128" i="2" s="1"/>
  <c r="BY129" i="2" s="1"/>
  <c r="BY130" i="2" s="1"/>
  <c r="BZ121" i="2"/>
  <c r="CJ121" i="2" s="1"/>
  <c r="BJ27" i="2"/>
  <c r="BQ15" i="2"/>
  <c r="BV15" i="2" s="1"/>
  <c r="CA15" i="2" s="1"/>
  <c r="BP15" i="2"/>
  <c r="BU15" i="2" s="1"/>
  <c r="BZ15" i="2" s="1"/>
  <c r="BO15" i="2"/>
  <c r="BT15" i="2" s="1"/>
  <c r="BY15" i="2" s="1"/>
  <c r="BN15" i="2"/>
  <c r="BS15" i="2" s="1"/>
  <c r="BX15" i="2" s="1"/>
  <c r="BM15" i="2"/>
  <c r="BR15" i="2" s="1"/>
  <c r="BW15" i="2" s="1"/>
  <c r="BQ14" i="2"/>
  <c r="BV14" i="2" s="1"/>
  <c r="CA14" i="2" s="1"/>
  <c r="BP14" i="2"/>
  <c r="BU14" i="2" s="1"/>
  <c r="BZ14" i="2" s="1"/>
  <c r="BO14" i="2"/>
  <c r="BT14" i="2" s="1"/>
  <c r="BY14" i="2" s="1"/>
  <c r="BN14" i="2"/>
  <c r="BS14" i="2" s="1"/>
  <c r="BX14" i="2" s="1"/>
  <c r="BM14" i="2"/>
  <c r="BR14" i="2" s="1"/>
  <c r="BW14" i="2" s="1"/>
  <c r="BQ13" i="2"/>
  <c r="BV13" i="2" s="1"/>
  <c r="CA13" i="2" s="1"/>
  <c r="BP13" i="2"/>
  <c r="BU13" i="2" s="1"/>
  <c r="BZ13" i="2" s="1"/>
  <c r="BO13" i="2"/>
  <c r="BT13" i="2" s="1"/>
  <c r="BY13" i="2" s="1"/>
  <c r="BN13" i="2"/>
  <c r="BS13" i="2" s="1"/>
  <c r="BX13" i="2" s="1"/>
  <c r="BM13" i="2"/>
  <c r="BR13" i="2" s="1"/>
  <c r="BW13" i="2" s="1"/>
  <c r="BQ12" i="2"/>
  <c r="BV12" i="2" s="1"/>
  <c r="CA12" i="2" s="1"/>
  <c r="BP12" i="2"/>
  <c r="BU12" i="2" s="1"/>
  <c r="BZ12" i="2" s="1"/>
  <c r="BO12" i="2"/>
  <c r="BT12" i="2" s="1"/>
  <c r="BY12" i="2" s="1"/>
  <c r="BN12" i="2"/>
  <c r="BS12" i="2" s="1"/>
  <c r="BX12" i="2" s="1"/>
  <c r="BM12" i="2"/>
  <c r="BR12" i="2" s="1"/>
  <c r="BW12" i="2" s="1"/>
  <c r="BQ11" i="2"/>
  <c r="BV11" i="2" s="1"/>
  <c r="CA11" i="2" s="1"/>
  <c r="BP11" i="2"/>
  <c r="BU11" i="2" s="1"/>
  <c r="BZ11" i="2" s="1"/>
  <c r="BO11" i="2"/>
  <c r="BT11" i="2" s="1"/>
  <c r="BY11" i="2" s="1"/>
  <c r="BN11" i="2"/>
  <c r="BS11" i="2" s="1"/>
  <c r="BX11" i="2" s="1"/>
  <c r="BM11" i="2"/>
  <c r="BR11" i="2" s="1"/>
  <c r="BW11" i="2" s="1"/>
  <c r="BQ10" i="2"/>
  <c r="BV10" i="2" s="1"/>
  <c r="CA10" i="2" s="1"/>
  <c r="BP10" i="2"/>
  <c r="BU10" i="2" s="1"/>
  <c r="BZ10" i="2" s="1"/>
  <c r="BO10" i="2"/>
  <c r="BT10" i="2" s="1"/>
  <c r="BY10" i="2" s="1"/>
  <c r="BN10" i="2"/>
  <c r="BS10" i="2" s="1"/>
  <c r="BX10" i="2" s="1"/>
  <c r="BM10" i="2"/>
  <c r="BR10" i="2" s="1"/>
  <c r="BW10" i="2" s="1"/>
  <c r="BQ9" i="2"/>
  <c r="BV9" i="2" s="1"/>
  <c r="CA9" i="2" s="1"/>
  <c r="BP9" i="2"/>
  <c r="BU9" i="2" s="1"/>
  <c r="BZ9" i="2" s="1"/>
  <c r="BO9" i="2"/>
  <c r="BT9" i="2" s="1"/>
  <c r="BY9" i="2" s="1"/>
  <c r="BN9" i="2"/>
  <c r="BS9" i="2" s="1"/>
  <c r="BX9" i="2" s="1"/>
  <c r="BM9" i="2"/>
  <c r="BR9" i="2" s="1"/>
  <c r="BW9" i="2" s="1"/>
  <c r="BQ8" i="2"/>
  <c r="BV8" i="2" s="1"/>
  <c r="CA8" i="2" s="1"/>
  <c r="BP8" i="2"/>
  <c r="BU8" i="2" s="1"/>
  <c r="BZ8" i="2" s="1"/>
  <c r="BO8" i="2"/>
  <c r="BT8" i="2" s="1"/>
  <c r="BY8" i="2" s="1"/>
  <c r="BN8" i="2"/>
  <c r="BS8" i="2" s="1"/>
  <c r="BX8" i="2" s="1"/>
  <c r="BM8" i="2"/>
  <c r="BR8" i="2" s="1"/>
  <c r="BW8" i="2" s="1"/>
  <c r="BQ7" i="2"/>
  <c r="BV7" i="2" s="1"/>
  <c r="CA7" i="2" s="1"/>
  <c r="BP7" i="2"/>
  <c r="BU7" i="2" s="1"/>
  <c r="BZ7" i="2" s="1"/>
  <c r="BO7" i="2"/>
  <c r="BT7" i="2" s="1"/>
  <c r="BY7" i="2" s="1"/>
  <c r="BN7" i="2"/>
  <c r="BS7" i="2" s="1"/>
  <c r="BX7" i="2" s="1"/>
  <c r="BM7" i="2"/>
  <c r="BR7" i="2" s="1"/>
  <c r="BW7" i="2" s="1"/>
  <c r="BQ6" i="2"/>
  <c r="BV6" i="2" s="1"/>
  <c r="CA6" i="2" s="1"/>
  <c r="BP6" i="2"/>
  <c r="BU6" i="2" s="1"/>
  <c r="BZ6" i="2" s="1"/>
  <c r="BO6" i="2"/>
  <c r="BT6" i="2" s="1"/>
  <c r="BY6" i="2" s="1"/>
  <c r="BN6" i="2"/>
  <c r="BS6" i="2" s="1"/>
  <c r="BX6" i="2" s="1"/>
  <c r="BM6" i="2"/>
  <c r="BR6" i="2" s="1"/>
  <c r="BW6" i="2" s="1"/>
  <c r="BQ5" i="2"/>
  <c r="BV5" i="2" s="1"/>
  <c r="CA5" i="2" s="1"/>
  <c r="BP5" i="2"/>
  <c r="BU5" i="2" s="1"/>
  <c r="BZ5" i="2" s="1"/>
  <c r="BO5" i="2"/>
  <c r="BT5" i="2" s="1"/>
  <c r="BY5" i="2" s="1"/>
  <c r="BN5" i="2"/>
  <c r="BS5" i="2" s="1"/>
  <c r="BX5" i="2" s="1"/>
  <c r="BM5" i="2"/>
  <c r="BR5" i="2" s="1"/>
  <c r="BW5" i="2" s="1"/>
  <c r="CB122" i="2" l="1"/>
  <c r="F58" i="3"/>
  <c r="E58" i="3" s="1"/>
  <c r="CH121" i="2"/>
  <c r="DD124" i="2"/>
  <c r="DN123" i="2"/>
  <c r="BN122" i="2"/>
  <c r="BM122" i="2" s="1"/>
  <c r="BV123" i="2"/>
  <c r="DC124" i="2"/>
  <c r="DM123" i="2"/>
  <c r="BO124" i="2"/>
  <c r="BO125" i="2" s="1"/>
  <c r="CA122" i="2"/>
  <c r="EI126" i="2"/>
  <c r="ES126" i="2" s="1"/>
  <c r="ES125" i="2"/>
  <c r="BV122" i="2"/>
  <c r="EE125" i="2"/>
  <c r="DW125" i="2"/>
  <c r="DV125" i="2" s="1"/>
  <c r="DX126" i="2"/>
  <c r="EQ124" i="2"/>
  <c r="EV124" i="2" s="1"/>
  <c r="ER126" i="2"/>
  <c r="ER125" i="2"/>
  <c r="DL125" i="2"/>
  <c r="DO124" i="2"/>
  <c r="CY123" i="2"/>
  <c r="CQ123" i="2"/>
  <c r="CP123" i="2" s="1"/>
  <c r="CR124" i="2"/>
  <c r="DK124" i="2"/>
  <c r="CI121" i="2"/>
  <c r="CM121" i="2" s="1"/>
  <c r="BZ122" i="2"/>
  <c r="BX123" i="2"/>
  <c r="CH122" i="2"/>
  <c r="CB123" i="2"/>
  <c r="CL122" i="2"/>
  <c r="CI122" i="2"/>
  <c r="BL80" i="2"/>
  <c r="BM80" i="2" s="1"/>
  <c r="BI80" i="2"/>
  <c r="BL79" i="2"/>
  <c r="BM79" i="2" s="1"/>
  <c r="BI79" i="2"/>
  <c r="BL78" i="2"/>
  <c r="BM78" i="2" s="1"/>
  <c r="BO78" i="2" s="1"/>
  <c r="BI78" i="2"/>
  <c r="BL77" i="2"/>
  <c r="BM77" i="2" s="1"/>
  <c r="BO77" i="2" s="1"/>
  <c r="BI77" i="2"/>
  <c r="BL76" i="2"/>
  <c r="BM76" i="2" s="1"/>
  <c r="BI76" i="2"/>
  <c r="BL75" i="2"/>
  <c r="BM75" i="2" s="1"/>
  <c r="BO75" i="2" s="1"/>
  <c r="BI75" i="2"/>
  <c r="BL74" i="2"/>
  <c r="BM74" i="2" s="1"/>
  <c r="BO74" i="2" s="1"/>
  <c r="BI74" i="2"/>
  <c r="BL73" i="2"/>
  <c r="BM73" i="2" s="1"/>
  <c r="BO73" i="2" s="1"/>
  <c r="BI73" i="2"/>
  <c r="BL72" i="2"/>
  <c r="BM72" i="2" s="1"/>
  <c r="BO72" i="2" s="1"/>
  <c r="BI72" i="2"/>
  <c r="BL71" i="2"/>
  <c r="BM71" i="2" s="1"/>
  <c r="BO71" i="2" s="1"/>
  <c r="BI71" i="2"/>
  <c r="BL70" i="2"/>
  <c r="BM70" i="2" s="1"/>
  <c r="BO70" i="2" s="1"/>
  <c r="BI70" i="2"/>
  <c r="BO29" i="2"/>
  <c r="BJ28" i="2"/>
  <c r="CC46" i="2"/>
  <c r="BO45" i="2"/>
  <c r="CC44" i="2"/>
  <c r="BO43" i="2"/>
  <c r="CC42" i="2"/>
  <c r="CC40" i="2"/>
  <c r="BM40" i="2"/>
  <c r="BM42" i="2" s="1"/>
  <c r="BO39" i="2"/>
  <c r="CC38" i="2"/>
  <c r="BL38" i="2"/>
  <c r="BO37" i="2"/>
  <c r="CC36" i="2"/>
  <c r="BL36" i="2"/>
  <c r="BO35" i="2"/>
  <c r="CC34" i="2"/>
  <c r="BL34" i="2"/>
  <c r="BO33" i="2"/>
  <c r="CC32" i="2"/>
  <c r="BO31" i="2"/>
  <c r="CC30" i="2"/>
  <c r="CC28" i="2"/>
  <c r="DP123" i="2" l="1"/>
  <c r="F60" i="3"/>
  <c r="E60" i="3" s="1"/>
  <c r="DD125" i="2"/>
  <c r="DN124" i="2"/>
  <c r="BV124" i="2"/>
  <c r="BN124" i="2"/>
  <c r="BM124" i="2" s="1"/>
  <c r="DC125" i="2"/>
  <c r="DM124" i="2"/>
  <c r="DP124" i="2" s="1"/>
  <c r="EC71" i="2"/>
  <c r="EC75" i="2"/>
  <c r="EC72" i="2"/>
  <c r="EC76" i="2"/>
  <c r="EC73" i="2"/>
  <c r="EC70" i="2"/>
  <c r="EC74" i="2"/>
  <c r="CQ74" i="2"/>
  <c r="CQ70" i="2"/>
  <c r="CQ75" i="2"/>
  <c r="CQ71" i="2"/>
  <c r="CQ76" i="2"/>
  <c r="CQ72" i="2"/>
  <c r="CQ73" i="2"/>
  <c r="CO76" i="2"/>
  <c r="CA123" i="2"/>
  <c r="CK122" i="2"/>
  <c r="DW126" i="2"/>
  <c r="DV126" i="2" s="1"/>
  <c r="EE126" i="2"/>
  <c r="EQ126" i="2"/>
  <c r="EV126" i="2" s="1"/>
  <c r="EQ125" i="2"/>
  <c r="EV125" i="2" s="1"/>
  <c r="DK125" i="2"/>
  <c r="DL126" i="2"/>
  <c r="CY124" i="2"/>
  <c r="CQ124" i="2"/>
  <c r="CP124" i="2" s="1"/>
  <c r="CR125" i="2"/>
  <c r="DO125" i="2"/>
  <c r="BL40" i="2"/>
  <c r="BN71" i="2"/>
  <c r="BN75" i="2"/>
  <c r="BP72" i="2"/>
  <c r="BQ72" i="2" s="1"/>
  <c r="BP76" i="2"/>
  <c r="BP80" i="2"/>
  <c r="BP71" i="2"/>
  <c r="BQ71" i="2" s="1"/>
  <c r="BP79" i="2"/>
  <c r="BN72" i="2"/>
  <c r="BN77" i="2"/>
  <c r="BP73" i="2"/>
  <c r="BQ73" i="2" s="1"/>
  <c r="BP77" i="2"/>
  <c r="BN73" i="2"/>
  <c r="BN78" i="2"/>
  <c r="BP74" i="2"/>
  <c r="BQ74" i="2" s="1"/>
  <c r="BP78" i="2"/>
  <c r="BN74" i="2"/>
  <c r="BP75" i="2"/>
  <c r="CB124" i="2"/>
  <c r="CL123" i="2"/>
  <c r="CH123" i="2"/>
  <c r="BX124" i="2"/>
  <c r="BZ123" i="2"/>
  <c r="CJ122" i="2"/>
  <c r="CI123" i="2"/>
  <c r="BV125" i="2"/>
  <c r="BN125" i="2"/>
  <c r="BM125" i="2" s="1"/>
  <c r="BO126" i="2"/>
  <c r="BO80" i="2"/>
  <c r="BN80" i="2"/>
  <c r="BN79" i="2"/>
  <c r="BO79" i="2"/>
  <c r="BQ79" i="2" s="1"/>
  <c r="BO76" i="2"/>
  <c r="BN76" i="2"/>
  <c r="CD6" i="2"/>
  <c r="BN70" i="2"/>
  <c r="BP70" i="2"/>
  <c r="BQ70" i="2" s="1"/>
  <c r="BL42" i="2"/>
  <c r="BM44" i="2"/>
  <c r="BM46" i="2" s="1"/>
  <c r="C378" i="2"/>
  <c r="C379" i="2"/>
  <c r="C377" i="2"/>
  <c r="F62" i="3" l="1"/>
  <c r="E62" i="3" s="1"/>
  <c r="CF9" i="2"/>
  <c r="CM122" i="2"/>
  <c r="DD126" i="2"/>
  <c r="DN126" i="2" s="1"/>
  <c r="DN125" i="2"/>
  <c r="BQ80" i="2"/>
  <c r="DC126" i="2"/>
  <c r="DM126" i="2" s="1"/>
  <c r="DM125" i="2"/>
  <c r="DP125" i="2" s="1"/>
  <c r="DD7" i="2"/>
  <c r="DF7" i="2"/>
  <c r="DG7" i="2"/>
  <c r="DH7" i="2"/>
  <c r="DE7" i="2"/>
  <c r="CR72" i="2"/>
  <c r="ET8" i="2"/>
  <c r="EP8" i="2"/>
  <c r="EQ8" i="2"/>
  <c r="ER8" i="2"/>
  <c r="ES8" i="2"/>
  <c r="ED73" i="2"/>
  <c r="CE8" i="2"/>
  <c r="BQ76" i="2"/>
  <c r="CA124" i="2"/>
  <c r="CK123" i="2"/>
  <c r="DH11" i="2"/>
  <c r="DD11" i="2"/>
  <c r="DF11" i="2"/>
  <c r="DG11" i="2"/>
  <c r="DE11" i="2"/>
  <c r="CR76" i="2"/>
  <c r="DF9" i="2"/>
  <c r="DG9" i="2"/>
  <c r="DH9" i="2"/>
  <c r="DE9" i="2"/>
  <c r="DD9" i="2"/>
  <c r="CR74" i="2"/>
  <c r="ET11" i="2"/>
  <c r="EQ11" i="2"/>
  <c r="EP11" i="2"/>
  <c r="ER11" i="2"/>
  <c r="ED76" i="2"/>
  <c r="ES11" i="2"/>
  <c r="DG6" i="2"/>
  <c r="DH6" i="2"/>
  <c r="DE6" i="2"/>
  <c r="DD6" i="2"/>
  <c r="DF6" i="2"/>
  <c r="CR71" i="2"/>
  <c r="ET9" i="2"/>
  <c r="ED74" i="2"/>
  <c r="EQ9" i="2"/>
  <c r="ER9" i="2"/>
  <c r="ES9" i="2"/>
  <c r="EP9" i="2"/>
  <c r="ET7" i="2"/>
  <c r="EQ7" i="2"/>
  <c r="EP7" i="2"/>
  <c r="ER7" i="2"/>
  <c r="ED72" i="2"/>
  <c r="ES7" i="2"/>
  <c r="DE8" i="2"/>
  <c r="DD8" i="2"/>
  <c r="DG8" i="2"/>
  <c r="DH8" i="2"/>
  <c r="DF8" i="2"/>
  <c r="CR73" i="2"/>
  <c r="DF10" i="2"/>
  <c r="DG10" i="2"/>
  <c r="DE10" i="2"/>
  <c r="DD10" i="2"/>
  <c r="DH10" i="2"/>
  <c r="CR75" i="2"/>
  <c r="ET5" i="2"/>
  <c r="EQ5" i="2"/>
  <c r="ER5" i="2"/>
  <c r="ES5" i="2"/>
  <c r="EP5" i="2"/>
  <c r="ED70" i="2"/>
  <c r="ET10" i="2"/>
  <c r="EQ10" i="2"/>
  <c r="ED75" i="2"/>
  <c r="ER10" i="2"/>
  <c r="EP10" i="2"/>
  <c r="ES10" i="2"/>
  <c r="DD5" i="2"/>
  <c r="DH5" i="2"/>
  <c r="DE5" i="2"/>
  <c r="DF5" i="2"/>
  <c r="DG5" i="2"/>
  <c r="CR70" i="2"/>
  <c r="ET6" i="2"/>
  <c r="EQ6" i="2"/>
  <c r="ED71" i="2"/>
  <c r="ER6" i="2"/>
  <c r="EP6" i="2"/>
  <c r="ES6" i="2"/>
  <c r="DO126" i="2"/>
  <c r="CY125" i="2"/>
  <c r="CQ125" i="2"/>
  <c r="CP125" i="2" s="1"/>
  <c r="CR126" i="2"/>
  <c r="DK126" i="2"/>
  <c r="BX125" i="2"/>
  <c r="CH124" i="2"/>
  <c r="BM48" i="2"/>
  <c r="BL48" i="2" s="1"/>
  <c r="BL46" i="2"/>
  <c r="CC8" i="2"/>
  <c r="CC9" i="2"/>
  <c r="CE6" i="2"/>
  <c r="CB8" i="2"/>
  <c r="BZ124" i="2"/>
  <c r="CJ123" i="2"/>
  <c r="CE13" i="2"/>
  <c r="CF13" i="2"/>
  <c r="CD13" i="2"/>
  <c r="CB13" i="2"/>
  <c r="CC13" i="2"/>
  <c r="BQ78" i="2"/>
  <c r="CE12" i="2"/>
  <c r="CD12" i="2"/>
  <c r="CF12" i="2"/>
  <c r="CC12" i="2"/>
  <c r="CB12" i="2"/>
  <c r="BQ77" i="2"/>
  <c r="CF14" i="2"/>
  <c r="CC14" i="2"/>
  <c r="CB14" i="2"/>
  <c r="CD14" i="2"/>
  <c r="CE14" i="2"/>
  <c r="CB125" i="2"/>
  <c r="CL124" i="2"/>
  <c r="CE9" i="2"/>
  <c r="CB9" i="2"/>
  <c r="CB6" i="2"/>
  <c r="CB10" i="2"/>
  <c r="BQ75" i="2"/>
  <c r="CC15" i="2"/>
  <c r="CB15" i="2"/>
  <c r="CD15" i="2"/>
  <c r="CF15" i="2"/>
  <c r="CE15" i="2"/>
  <c r="CD9" i="2"/>
  <c r="CF6" i="2"/>
  <c r="CC6" i="2"/>
  <c r="CD11" i="2"/>
  <c r="CB11" i="2"/>
  <c r="CE11" i="2"/>
  <c r="CC11" i="2"/>
  <c r="CF11" i="2"/>
  <c r="CI124" i="2"/>
  <c r="BV126" i="2"/>
  <c r="BN126" i="2"/>
  <c r="BM126" i="2" s="1"/>
  <c r="BO127" i="2"/>
  <c r="CF8" i="2"/>
  <c r="CD8" i="2"/>
  <c r="CF10" i="2"/>
  <c r="CC10" i="2"/>
  <c r="CE10" i="2"/>
  <c r="CD10" i="2"/>
  <c r="CD5" i="2"/>
  <c r="CF5" i="2"/>
  <c r="CC5" i="2"/>
  <c r="CB5" i="2"/>
  <c r="CE5" i="2"/>
  <c r="CD7" i="2"/>
  <c r="CF7" i="2"/>
  <c r="CC7" i="2"/>
  <c r="CB7" i="2"/>
  <c r="CE7" i="2"/>
  <c r="BL44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W175" i="2"/>
  <c r="X175" i="2"/>
  <c r="Y175" i="2"/>
  <c r="Z175" i="2"/>
  <c r="AA175" i="2"/>
  <c r="W176" i="2"/>
  <c r="X176" i="2"/>
  <c r="Y176" i="2"/>
  <c r="Z176" i="2"/>
  <c r="AA176" i="2"/>
  <c r="W177" i="2"/>
  <c r="X177" i="2"/>
  <c r="Y177" i="2"/>
  <c r="Z177" i="2"/>
  <c r="AA177" i="2"/>
  <c r="W178" i="2"/>
  <c r="X178" i="2"/>
  <c r="Y178" i="2"/>
  <c r="Z178" i="2"/>
  <c r="AA178" i="2"/>
  <c r="W179" i="2"/>
  <c r="X179" i="2"/>
  <c r="Y179" i="2"/>
  <c r="Z179" i="2"/>
  <c r="AA179" i="2"/>
  <c r="W180" i="2"/>
  <c r="X180" i="2"/>
  <c r="Y180" i="2"/>
  <c r="Z180" i="2"/>
  <c r="AA180" i="2"/>
  <c r="W181" i="2"/>
  <c r="X181" i="2"/>
  <c r="Y181" i="2"/>
  <c r="Z181" i="2"/>
  <c r="AA181" i="2"/>
  <c r="W182" i="2"/>
  <c r="X182" i="2"/>
  <c r="Y182" i="2"/>
  <c r="Z182" i="2"/>
  <c r="AA182" i="2"/>
  <c r="W183" i="2"/>
  <c r="X183" i="2"/>
  <c r="Y183" i="2"/>
  <c r="Z183" i="2"/>
  <c r="AA183" i="2"/>
  <c r="W184" i="2"/>
  <c r="X184" i="2"/>
  <c r="Y184" i="2"/>
  <c r="Z184" i="2"/>
  <c r="AA184" i="2"/>
  <c r="AA174" i="2"/>
  <c r="Z174" i="2"/>
  <c r="Y174" i="2"/>
  <c r="X174" i="2"/>
  <c r="W174" i="2"/>
  <c r="AA173" i="2"/>
  <c r="Z173" i="2"/>
  <c r="Y173" i="2"/>
  <c r="X173" i="2"/>
  <c r="W173" i="2"/>
  <c r="AA172" i="2"/>
  <c r="Z172" i="2"/>
  <c r="Y172" i="2"/>
  <c r="X172" i="2"/>
  <c r="W172" i="2"/>
  <c r="AA171" i="2"/>
  <c r="Z171" i="2"/>
  <c r="Y171" i="2"/>
  <c r="X171" i="2"/>
  <c r="W171" i="2"/>
  <c r="AA170" i="2"/>
  <c r="Z170" i="2"/>
  <c r="Y170" i="2"/>
  <c r="X170" i="2"/>
  <c r="W170" i="2"/>
  <c r="AA169" i="2"/>
  <c r="Z169" i="2"/>
  <c r="Y169" i="2"/>
  <c r="X169" i="2"/>
  <c r="W169" i="2"/>
  <c r="AA168" i="2"/>
  <c r="Z168" i="2"/>
  <c r="Y168" i="2"/>
  <c r="X168" i="2"/>
  <c r="W168" i="2"/>
  <c r="W158" i="2"/>
  <c r="X158" i="2"/>
  <c r="Y158" i="2"/>
  <c r="Z158" i="2"/>
  <c r="AA158" i="2"/>
  <c r="W159" i="2"/>
  <c r="X159" i="2"/>
  <c r="Y159" i="2"/>
  <c r="Z159" i="2"/>
  <c r="AA159" i="2"/>
  <c r="W160" i="2"/>
  <c r="X160" i="2"/>
  <c r="Y160" i="2"/>
  <c r="Z160" i="2"/>
  <c r="AA160" i="2"/>
  <c r="W161" i="2"/>
  <c r="X161" i="2"/>
  <c r="Y161" i="2"/>
  <c r="Z161" i="2"/>
  <c r="AA161" i="2"/>
  <c r="W162" i="2"/>
  <c r="X162" i="2"/>
  <c r="Y162" i="2"/>
  <c r="Z162" i="2"/>
  <c r="AA162" i="2"/>
  <c r="W163" i="2"/>
  <c r="X163" i="2"/>
  <c r="Y163" i="2"/>
  <c r="Z163" i="2"/>
  <c r="AA163" i="2"/>
  <c r="X157" i="2"/>
  <c r="Y157" i="2"/>
  <c r="Z157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B315" i="2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70" i="2"/>
  <c r="A71" i="2"/>
  <c r="A65" i="2"/>
  <c r="A66" i="2"/>
  <c r="A67" i="2"/>
  <c r="A68" i="2"/>
  <c r="A69" i="2"/>
  <c r="A70" i="2"/>
  <c r="A64" i="2"/>
  <c r="CM123" i="2" l="1"/>
  <c r="EU6" i="2"/>
  <c r="EU10" i="2"/>
  <c r="AG168" i="2"/>
  <c r="EU11" i="2"/>
  <c r="DI9" i="2"/>
  <c r="DP126" i="2"/>
  <c r="EU8" i="2"/>
  <c r="CA125" i="2"/>
  <c r="CK124" i="2"/>
  <c r="DI10" i="2"/>
  <c r="DI8" i="2"/>
  <c r="EU9" i="2"/>
  <c r="DI6" i="2"/>
  <c r="DI11" i="2"/>
  <c r="DI5" i="2"/>
  <c r="EU5" i="2"/>
  <c r="EU7" i="2"/>
  <c r="DI7" i="2"/>
  <c r="CY126" i="2"/>
  <c r="CQ126" i="2"/>
  <c r="CP126" i="2" s="1"/>
  <c r="CG6" i="2"/>
  <c r="CG9" i="2"/>
  <c r="CG15" i="2"/>
  <c r="CB126" i="2"/>
  <c r="CL125" i="2"/>
  <c r="AG184" i="2"/>
  <c r="AG182" i="2"/>
  <c r="AG178" i="2"/>
  <c r="AG176" i="2"/>
  <c r="CG13" i="2"/>
  <c r="AG175" i="2"/>
  <c r="CG11" i="2"/>
  <c r="CG14" i="2"/>
  <c r="CG12" i="2"/>
  <c r="BZ125" i="2"/>
  <c r="CJ124" i="2"/>
  <c r="BX126" i="2"/>
  <c r="CH125" i="2"/>
  <c r="CI125" i="2"/>
  <c r="BN127" i="2"/>
  <c r="BM127" i="2" s="1"/>
  <c r="BV127" i="2"/>
  <c r="BO128" i="2"/>
  <c r="CG7" i="2"/>
  <c r="CG8" i="2"/>
  <c r="CG10" i="2"/>
  <c r="CG5" i="2"/>
  <c r="AG180" i="2"/>
  <c r="AG162" i="2"/>
  <c r="AG158" i="2"/>
  <c r="AG183" i="2"/>
  <c r="AG181" i="2"/>
  <c r="AG179" i="2"/>
  <c r="AG177" i="2"/>
  <c r="AG161" i="2"/>
  <c r="AG163" i="2"/>
  <c r="AG160" i="2"/>
  <c r="AG159" i="2"/>
  <c r="AG171" i="2"/>
  <c r="AG172" i="2"/>
  <c r="AG170" i="2"/>
  <c r="AG173" i="2"/>
  <c r="AG169" i="2"/>
  <c r="AG174" i="2"/>
  <c r="CM124" i="2" l="1"/>
  <c r="CA126" i="2"/>
  <c r="CK125" i="2"/>
  <c r="BX127" i="2"/>
  <c r="CH126" i="2"/>
  <c r="BZ126" i="2"/>
  <c r="CJ125" i="2"/>
  <c r="CM125" i="2" s="1"/>
  <c r="CB127" i="2"/>
  <c r="CL126" i="2"/>
  <c r="CI126" i="2"/>
  <c r="BV128" i="2"/>
  <c r="BN128" i="2"/>
  <c r="BM128" i="2" s="1"/>
  <c r="BO129" i="2"/>
  <c r="A364" i="2"/>
  <c r="CA127" i="2" l="1"/>
  <c r="CK126" i="2"/>
  <c r="BZ127" i="2"/>
  <c r="CJ126" i="2"/>
  <c r="CB128" i="2"/>
  <c r="CL127" i="2"/>
  <c r="BX128" i="2"/>
  <c r="CH127" i="2"/>
  <c r="CI127" i="2"/>
  <c r="BV129" i="2"/>
  <c r="BN129" i="2"/>
  <c r="BM129" i="2" s="1"/>
  <c r="BO130" i="2"/>
  <c r="G343" i="2"/>
  <c r="C356" i="2"/>
  <c r="G351" i="2"/>
  <c r="C352" i="2"/>
  <c r="C351" i="2"/>
  <c r="D356" i="2"/>
  <c r="D354" i="2"/>
  <c r="D352" i="2"/>
  <c r="D351" i="2"/>
  <c r="E356" i="2"/>
  <c r="F356" i="2"/>
  <c r="G356" i="2" s="1"/>
  <c r="E354" i="2"/>
  <c r="E352" i="2"/>
  <c r="E351" i="2"/>
  <c r="F354" i="2"/>
  <c r="G354" i="2" s="1"/>
  <c r="G352" i="2"/>
  <c r="CA128" i="2" l="1"/>
  <c r="CK127" i="2"/>
  <c r="CM126" i="2"/>
  <c r="BZ128" i="2"/>
  <c r="CJ127" i="2"/>
  <c r="CB129" i="2"/>
  <c r="CL128" i="2"/>
  <c r="BX129" i="2"/>
  <c r="CH128" i="2"/>
  <c r="CI128" i="2"/>
  <c r="BV130" i="2"/>
  <c r="BN130" i="2"/>
  <c r="BM130" i="2" s="1"/>
  <c r="AM134" i="2"/>
  <c r="AM135" i="2"/>
  <c r="AM136" i="2"/>
  <c r="AK134" i="2"/>
  <c r="AK135" i="2"/>
  <c r="AK136" i="2"/>
  <c r="AT19" i="2"/>
  <c r="AK19" i="2"/>
  <c r="AP19" i="2" s="1"/>
  <c r="AU19" i="2" s="1"/>
  <c r="AL19" i="2"/>
  <c r="AQ19" i="2" s="1"/>
  <c r="AV19" i="2" s="1"/>
  <c r="AM19" i="2"/>
  <c r="AR19" i="2" s="1"/>
  <c r="AW19" i="2" s="1"/>
  <c r="AN19" i="2"/>
  <c r="AS19" i="2" s="1"/>
  <c r="AX19" i="2" s="1"/>
  <c r="AT20" i="2"/>
  <c r="AK20" i="2"/>
  <c r="AP20" i="2" s="1"/>
  <c r="AU20" i="2" s="1"/>
  <c r="AL20" i="2"/>
  <c r="AQ20" i="2" s="1"/>
  <c r="AV20" i="2" s="1"/>
  <c r="AM20" i="2"/>
  <c r="AR20" i="2" s="1"/>
  <c r="AW20" i="2" s="1"/>
  <c r="AN20" i="2"/>
  <c r="AS20" i="2" s="1"/>
  <c r="AX20" i="2" s="1"/>
  <c r="AT21" i="2"/>
  <c r="AK21" i="2"/>
  <c r="AP21" i="2" s="1"/>
  <c r="AU21" i="2" s="1"/>
  <c r="AL21" i="2"/>
  <c r="AQ21" i="2" s="1"/>
  <c r="AV21" i="2" s="1"/>
  <c r="AM21" i="2"/>
  <c r="AR21" i="2" s="1"/>
  <c r="AW21" i="2" s="1"/>
  <c r="AN21" i="2"/>
  <c r="AS21" i="2" s="1"/>
  <c r="AX21" i="2" s="1"/>
  <c r="AL61" i="2"/>
  <c r="AK86" i="2"/>
  <c r="AK84" i="2"/>
  <c r="AK85" i="2"/>
  <c r="AM85" i="2" s="1"/>
  <c r="AL59" i="2"/>
  <c r="AL57" i="2"/>
  <c r="AZ60" i="2"/>
  <c r="AZ58" i="2"/>
  <c r="AZ56" i="2"/>
  <c r="CM127" i="2" l="1"/>
  <c r="CA129" i="2"/>
  <c r="CK128" i="2"/>
  <c r="AN136" i="2"/>
  <c r="AN135" i="2"/>
  <c r="BZ129" i="2"/>
  <c r="CJ128" i="2"/>
  <c r="CM128" i="2" s="1"/>
  <c r="CB130" i="2"/>
  <c r="CL130" i="2" s="1"/>
  <c r="CL129" i="2"/>
  <c r="BX130" i="2"/>
  <c r="CH130" i="2" s="1"/>
  <c r="CH129" i="2"/>
  <c r="CI129" i="2"/>
  <c r="AM86" i="2"/>
  <c r="AM84" i="2"/>
  <c r="AT12" i="2"/>
  <c r="AK12" i="2"/>
  <c r="AP12" i="2" s="1"/>
  <c r="AU12" i="2" s="1"/>
  <c r="AL12" i="2"/>
  <c r="AQ12" i="2" s="1"/>
  <c r="AV12" i="2" s="1"/>
  <c r="AM12" i="2"/>
  <c r="AR12" i="2" s="1"/>
  <c r="AW12" i="2" s="1"/>
  <c r="AN12" i="2"/>
  <c r="AS12" i="2" s="1"/>
  <c r="AX12" i="2" s="1"/>
  <c r="AT13" i="2"/>
  <c r="AK13" i="2"/>
  <c r="AP13" i="2" s="1"/>
  <c r="AU13" i="2" s="1"/>
  <c r="AL13" i="2"/>
  <c r="AQ13" i="2" s="1"/>
  <c r="AV13" i="2" s="1"/>
  <c r="AM13" i="2"/>
  <c r="AR13" i="2" s="1"/>
  <c r="AW13" i="2" s="1"/>
  <c r="AN13" i="2"/>
  <c r="AS13" i="2" s="1"/>
  <c r="AX13" i="2" s="1"/>
  <c r="AT14" i="2"/>
  <c r="AK14" i="2"/>
  <c r="AP14" i="2" s="1"/>
  <c r="AU14" i="2" s="1"/>
  <c r="AL14" i="2"/>
  <c r="AQ14" i="2" s="1"/>
  <c r="AV14" i="2" s="1"/>
  <c r="AM14" i="2"/>
  <c r="AR14" i="2" s="1"/>
  <c r="AW14" i="2" s="1"/>
  <c r="AN14" i="2"/>
  <c r="AS14" i="2" s="1"/>
  <c r="AX14" i="2" s="1"/>
  <c r="AT15" i="2"/>
  <c r="AK15" i="2"/>
  <c r="AP15" i="2" s="1"/>
  <c r="AU15" i="2" s="1"/>
  <c r="AL15" i="2"/>
  <c r="AQ15" i="2" s="1"/>
  <c r="AV15" i="2" s="1"/>
  <c r="AM15" i="2"/>
  <c r="AR15" i="2" s="1"/>
  <c r="AW15" i="2" s="1"/>
  <c r="AN15" i="2"/>
  <c r="AS15" i="2" s="1"/>
  <c r="AX15" i="2" s="1"/>
  <c r="AT16" i="2"/>
  <c r="AK16" i="2"/>
  <c r="AP16" i="2" s="1"/>
  <c r="AU16" i="2" s="1"/>
  <c r="AL16" i="2"/>
  <c r="AQ16" i="2" s="1"/>
  <c r="AV16" i="2" s="1"/>
  <c r="AM16" i="2"/>
  <c r="AR16" i="2" s="1"/>
  <c r="AW16" i="2" s="1"/>
  <c r="AN16" i="2"/>
  <c r="AS16" i="2" s="1"/>
  <c r="AX16" i="2" s="1"/>
  <c r="AT17" i="2"/>
  <c r="AK17" i="2"/>
  <c r="AP17" i="2" s="1"/>
  <c r="AU17" i="2" s="1"/>
  <c r="AL17" i="2"/>
  <c r="AQ17" i="2" s="1"/>
  <c r="AV17" i="2" s="1"/>
  <c r="AM17" i="2"/>
  <c r="AR17" i="2" s="1"/>
  <c r="AW17" i="2" s="1"/>
  <c r="AN17" i="2"/>
  <c r="AS17" i="2" s="1"/>
  <c r="AX17" i="2" s="1"/>
  <c r="AT18" i="2"/>
  <c r="AK18" i="2"/>
  <c r="AP18" i="2" s="1"/>
  <c r="AU18" i="2" s="1"/>
  <c r="AL18" i="2"/>
  <c r="AQ18" i="2" s="1"/>
  <c r="AV18" i="2" s="1"/>
  <c r="AM18" i="2"/>
  <c r="AR18" i="2" s="1"/>
  <c r="AW18" i="2" s="1"/>
  <c r="AN18" i="2"/>
  <c r="AS18" i="2" s="1"/>
  <c r="AX18" i="2" s="1"/>
  <c r="AN11" i="2"/>
  <c r="AS11" i="2" s="1"/>
  <c r="AX11" i="2" s="1"/>
  <c r="AM11" i="2"/>
  <c r="AR11" i="2" s="1"/>
  <c r="AW11" i="2" s="1"/>
  <c r="AL11" i="2"/>
  <c r="AQ11" i="2" s="1"/>
  <c r="AV11" i="2" s="1"/>
  <c r="AK11" i="2"/>
  <c r="AP11" i="2" s="1"/>
  <c r="AU11" i="2" s="1"/>
  <c r="AT11" i="2"/>
  <c r="AN10" i="2"/>
  <c r="AS10" i="2" s="1"/>
  <c r="AX10" i="2" s="1"/>
  <c r="AM10" i="2"/>
  <c r="AR10" i="2" s="1"/>
  <c r="AW10" i="2" s="1"/>
  <c r="AL10" i="2"/>
  <c r="AQ10" i="2" s="1"/>
  <c r="AV10" i="2" s="1"/>
  <c r="AK10" i="2"/>
  <c r="AP10" i="2" s="1"/>
  <c r="AU10" i="2" s="1"/>
  <c r="AT10" i="2"/>
  <c r="AN9" i="2"/>
  <c r="AS9" i="2" s="1"/>
  <c r="AX9" i="2" s="1"/>
  <c r="AM9" i="2"/>
  <c r="AR9" i="2" s="1"/>
  <c r="AW9" i="2" s="1"/>
  <c r="AL9" i="2"/>
  <c r="AQ9" i="2" s="1"/>
  <c r="AV9" i="2" s="1"/>
  <c r="AK9" i="2"/>
  <c r="AP9" i="2" s="1"/>
  <c r="AU9" i="2" s="1"/>
  <c r="AT9" i="2"/>
  <c r="AN8" i="2"/>
  <c r="AS8" i="2" s="1"/>
  <c r="AX8" i="2" s="1"/>
  <c r="AM8" i="2"/>
  <c r="AR8" i="2" s="1"/>
  <c r="AW8" i="2" s="1"/>
  <c r="AL8" i="2"/>
  <c r="AQ8" i="2" s="1"/>
  <c r="AV8" i="2" s="1"/>
  <c r="AK8" i="2"/>
  <c r="AP8" i="2" s="1"/>
  <c r="AU8" i="2" s="1"/>
  <c r="AT8" i="2"/>
  <c r="AN7" i="2"/>
  <c r="AS7" i="2" s="1"/>
  <c r="AX7" i="2" s="1"/>
  <c r="AM7" i="2"/>
  <c r="AR7" i="2" s="1"/>
  <c r="AW7" i="2" s="1"/>
  <c r="AL7" i="2"/>
  <c r="AQ7" i="2" s="1"/>
  <c r="AV7" i="2" s="1"/>
  <c r="AK7" i="2"/>
  <c r="AP7" i="2" s="1"/>
  <c r="AU7" i="2" s="1"/>
  <c r="AT7" i="2"/>
  <c r="AN6" i="2"/>
  <c r="AS6" i="2" s="1"/>
  <c r="AX6" i="2" s="1"/>
  <c r="AM6" i="2"/>
  <c r="AR6" i="2" s="1"/>
  <c r="AW6" i="2" s="1"/>
  <c r="AL6" i="2"/>
  <c r="AQ6" i="2" s="1"/>
  <c r="AV6" i="2" s="1"/>
  <c r="AK6" i="2"/>
  <c r="AP6" i="2" s="1"/>
  <c r="AU6" i="2" s="1"/>
  <c r="AT6" i="2"/>
  <c r="AN5" i="2"/>
  <c r="AS5" i="2" s="1"/>
  <c r="AX5" i="2" s="1"/>
  <c r="AM5" i="2"/>
  <c r="AR5" i="2" s="1"/>
  <c r="AW5" i="2" s="1"/>
  <c r="AL5" i="2"/>
  <c r="AQ5" i="2" s="1"/>
  <c r="AV5" i="2" s="1"/>
  <c r="AK5" i="2"/>
  <c r="AP5" i="2" s="1"/>
  <c r="AU5" i="2" s="1"/>
  <c r="AT5" i="2"/>
  <c r="AM133" i="2"/>
  <c r="AN134" i="2" s="1"/>
  <c r="AK133" i="2"/>
  <c r="AK83" i="2"/>
  <c r="AZ54" i="2"/>
  <c r="AL55" i="2"/>
  <c r="J11" i="2"/>
  <c r="O11" i="2" s="1"/>
  <c r="T11" i="2" s="1"/>
  <c r="I11" i="2"/>
  <c r="N11" i="2" s="1"/>
  <c r="S11" i="2" s="1"/>
  <c r="H11" i="2"/>
  <c r="M11" i="2" s="1"/>
  <c r="R11" i="2" s="1"/>
  <c r="G11" i="2"/>
  <c r="L11" i="2" s="1"/>
  <c r="Q11" i="2" s="1"/>
  <c r="F11" i="2"/>
  <c r="K11" i="2" s="1"/>
  <c r="P11" i="2" s="1"/>
  <c r="J10" i="2"/>
  <c r="O10" i="2" s="1"/>
  <c r="T10" i="2" s="1"/>
  <c r="I10" i="2"/>
  <c r="N10" i="2" s="1"/>
  <c r="S10" i="2" s="1"/>
  <c r="H10" i="2"/>
  <c r="M10" i="2" s="1"/>
  <c r="R10" i="2" s="1"/>
  <c r="G10" i="2"/>
  <c r="L10" i="2" s="1"/>
  <c r="Q10" i="2" s="1"/>
  <c r="F10" i="2"/>
  <c r="K10" i="2" s="1"/>
  <c r="P10" i="2" s="1"/>
  <c r="J9" i="2"/>
  <c r="O9" i="2" s="1"/>
  <c r="T9" i="2" s="1"/>
  <c r="I9" i="2"/>
  <c r="N9" i="2" s="1"/>
  <c r="S9" i="2" s="1"/>
  <c r="H9" i="2"/>
  <c r="M9" i="2" s="1"/>
  <c r="R9" i="2" s="1"/>
  <c r="G9" i="2"/>
  <c r="L9" i="2" s="1"/>
  <c r="Q9" i="2" s="1"/>
  <c r="F9" i="2"/>
  <c r="K9" i="2" s="1"/>
  <c r="P9" i="2" s="1"/>
  <c r="J8" i="2"/>
  <c r="O8" i="2" s="1"/>
  <c r="T8" i="2" s="1"/>
  <c r="I8" i="2"/>
  <c r="N8" i="2" s="1"/>
  <c r="S8" i="2" s="1"/>
  <c r="H8" i="2"/>
  <c r="M8" i="2" s="1"/>
  <c r="R8" i="2" s="1"/>
  <c r="G8" i="2"/>
  <c r="L8" i="2" s="1"/>
  <c r="Q8" i="2" s="1"/>
  <c r="F8" i="2"/>
  <c r="K8" i="2" s="1"/>
  <c r="P8" i="2" s="1"/>
  <c r="J7" i="2"/>
  <c r="O7" i="2" s="1"/>
  <c r="T7" i="2" s="1"/>
  <c r="I7" i="2"/>
  <c r="N7" i="2" s="1"/>
  <c r="S7" i="2" s="1"/>
  <c r="H7" i="2"/>
  <c r="M7" i="2" s="1"/>
  <c r="R7" i="2" s="1"/>
  <c r="G7" i="2"/>
  <c r="L7" i="2" s="1"/>
  <c r="Q7" i="2" s="1"/>
  <c r="F7" i="2"/>
  <c r="K7" i="2" s="1"/>
  <c r="P7" i="2" s="1"/>
  <c r="J6" i="2"/>
  <c r="O6" i="2" s="1"/>
  <c r="T6" i="2" s="1"/>
  <c r="I6" i="2"/>
  <c r="N6" i="2" s="1"/>
  <c r="S6" i="2" s="1"/>
  <c r="H6" i="2"/>
  <c r="M6" i="2" s="1"/>
  <c r="R6" i="2" s="1"/>
  <c r="G6" i="2"/>
  <c r="L6" i="2" s="1"/>
  <c r="Q6" i="2" s="1"/>
  <c r="F6" i="2"/>
  <c r="K6" i="2" s="1"/>
  <c r="P6" i="2" s="1"/>
  <c r="J5" i="2"/>
  <c r="O5" i="2" s="1"/>
  <c r="T5" i="2" s="1"/>
  <c r="I5" i="2"/>
  <c r="N5" i="2" s="1"/>
  <c r="S5" i="2" s="1"/>
  <c r="H5" i="2"/>
  <c r="M5" i="2" s="1"/>
  <c r="R5" i="2" s="1"/>
  <c r="G5" i="2"/>
  <c r="L5" i="2" s="1"/>
  <c r="Q5" i="2" s="1"/>
  <c r="F5" i="2"/>
  <c r="K5" i="2" s="1"/>
  <c r="P5" i="2" s="1"/>
  <c r="CA130" i="2" l="1"/>
  <c r="CK130" i="2" s="1"/>
  <c r="CK129" i="2"/>
  <c r="BZ130" i="2"/>
  <c r="CJ130" i="2" s="1"/>
  <c r="CJ129" i="2"/>
  <c r="CI130" i="2"/>
  <c r="AM83" i="2"/>
  <c r="CM129" i="2" l="1"/>
  <c r="CM130" i="2"/>
  <c r="AM131" i="2"/>
  <c r="AM132" i="2"/>
  <c r="AK131" i="2"/>
  <c r="AK132" i="2"/>
  <c r="AK81" i="2"/>
  <c r="AK82" i="2"/>
  <c r="AZ52" i="2"/>
  <c r="AZ50" i="2"/>
  <c r="AL53" i="2"/>
  <c r="AL51" i="2"/>
  <c r="AN132" i="2" l="1"/>
  <c r="AN133" i="2"/>
  <c r="AM82" i="2"/>
  <c r="AM81" i="2"/>
  <c r="AM130" i="2"/>
  <c r="AK130" i="2"/>
  <c r="AK80" i="2"/>
  <c r="AZ48" i="2"/>
  <c r="AL49" i="2"/>
  <c r="AL41" i="2"/>
  <c r="AK129" i="2"/>
  <c r="AM129" i="2"/>
  <c r="AL47" i="2"/>
  <c r="AZ42" i="2"/>
  <c r="AZ46" i="2"/>
  <c r="AK79" i="2"/>
  <c r="AM79" i="2" s="1"/>
  <c r="AK127" i="2"/>
  <c r="AM127" i="2"/>
  <c r="AK128" i="2"/>
  <c r="AM128" i="2"/>
  <c r="AK78" i="2"/>
  <c r="AK77" i="2"/>
  <c r="AM77" i="2" s="1"/>
  <c r="AI34" i="2"/>
  <c r="AI36" i="2"/>
  <c r="AI38" i="2"/>
  <c r="AZ44" i="2"/>
  <c r="AL45" i="2"/>
  <c r="AL43" i="2"/>
  <c r="AN129" i="2" l="1"/>
  <c r="AN130" i="2"/>
  <c r="AN131" i="2"/>
  <c r="AM80" i="2"/>
  <c r="AM78" i="2"/>
  <c r="AN128" i="2"/>
  <c r="AK126" i="2"/>
  <c r="AM126" i="2"/>
  <c r="AN127" i="2" s="1"/>
  <c r="AK76" i="2"/>
  <c r="AZ40" i="2"/>
  <c r="AM125" i="2"/>
  <c r="AK125" i="2"/>
  <c r="AM124" i="2"/>
  <c r="AK124" i="2"/>
  <c r="AM123" i="2"/>
  <c r="AK123" i="2"/>
  <c r="AM122" i="2"/>
  <c r="AK122" i="2"/>
  <c r="AM121" i="2"/>
  <c r="AK121" i="2"/>
  <c r="AM120" i="2"/>
  <c r="AN120" i="2" s="1"/>
  <c r="AH96" i="2" s="1"/>
  <c r="AO96" i="2" s="1"/>
  <c r="AP96" i="2" s="1"/>
  <c r="AK120" i="2"/>
  <c r="AK75" i="2"/>
  <c r="AK74" i="2"/>
  <c r="AK73" i="2"/>
  <c r="AK72" i="2"/>
  <c r="AM72" i="2" s="1"/>
  <c r="AK71" i="2"/>
  <c r="AK70" i="2"/>
  <c r="AM70" i="2" s="1"/>
  <c r="AL35" i="2"/>
  <c r="AL33" i="2"/>
  <c r="AL31" i="2"/>
  <c r="AL29" i="2"/>
  <c r="AG27" i="2"/>
  <c r="AG28" i="2" s="1"/>
  <c r="AI40" i="2"/>
  <c r="AL39" i="2"/>
  <c r="AZ38" i="2"/>
  <c r="AL37" i="2"/>
  <c r="AZ36" i="2"/>
  <c r="AZ34" i="2"/>
  <c r="AZ32" i="2"/>
  <c r="AZ30" i="2"/>
  <c r="AZ28" i="2"/>
  <c r="AN122" i="2" l="1"/>
  <c r="AN126" i="2"/>
  <c r="AN71" i="2"/>
  <c r="AN75" i="2"/>
  <c r="AN79" i="2"/>
  <c r="AO79" i="2" s="1"/>
  <c r="AN83" i="2"/>
  <c r="AO83" i="2" s="1"/>
  <c r="AN70" i="2"/>
  <c r="AO70" i="2" s="1"/>
  <c r="AN72" i="2"/>
  <c r="AO72" i="2" s="1"/>
  <c r="AN76" i="2"/>
  <c r="AN80" i="2"/>
  <c r="AO80" i="2" s="1"/>
  <c r="AN84" i="2"/>
  <c r="AO84" i="2" s="1"/>
  <c r="AN78" i="2"/>
  <c r="AO78" i="2" s="1"/>
  <c r="AN86" i="2"/>
  <c r="AO86" i="2" s="1"/>
  <c r="AN73" i="2"/>
  <c r="AN77" i="2"/>
  <c r="AO77" i="2" s="1"/>
  <c r="AN81" i="2"/>
  <c r="AO81" i="2" s="1"/>
  <c r="AN85" i="2"/>
  <c r="AO85" i="2" s="1"/>
  <c r="AN74" i="2"/>
  <c r="AN82" i="2"/>
  <c r="AO82" i="2" s="1"/>
  <c r="AL85" i="2"/>
  <c r="AL86" i="2"/>
  <c r="AL84" i="2"/>
  <c r="AS22" i="2"/>
  <c r="AL83" i="2"/>
  <c r="AH120" i="2"/>
  <c r="AO120" i="2" s="1"/>
  <c r="AW120" i="2"/>
  <c r="AX120" i="2"/>
  <c r="AY120" i="2"/>
  <c r="AV120" i="2"/>
  <c r="AU120" i="2"/>
  <c r="AL77" i="2"/>
  <c r="AN124" i="2"/>
  <c r="AL81" i="2"/>
  <c r="AL71" i="2"/>
  <c r="AL75" i="2"/>
  <c r="AL82" i="2"/>
  <c r="AL72" i="2"/>
  <c r="AL70" i="2"/>
  <c r="AL73" i="2"/>
  <c r="AL74" i="2"/>
  <c r="AL80" i="2"/>
  <c r="AN123" i="2"/>
  <c r="AL79" i="2"/>
  <c r="AL78" i="2"/>
  <c r="AM76" i="2"/>
  <c r="AL76" i="2"/>
  <c r="AN121" i="2"/>
  <c r="AH97" i="2" s="1"/>
  <c r="AO97" i="2" s="1"/>
  <c r="AP97" i="2" s="1"/>
  <c r="AN125" i="2"/>
  <c r="AM74" i="2"/>
  <c r="AM75" i="2"/>
  <c r="AM71" i="2"/>
  <c r="AM73" i="2"/>
  <c r="H127" i="2"/>
  <c r="T43" i="2"/>
  <c r="D71" i="2"/>
  <c r="E71" i="2" s="1"/>
  <c r="G71" i="2" s="1"/>
  <c r="AH98" i="2" l="1"/>
  <c r="AO74" i="2"/>
  <c r="AO75" i="2"/>
  <c r="AO71" i="2"/>
  <c r="AO73" i="2"/>
  <c r="AO76" i="2"/>
  <c r="BA17" i="2"/>
  <c r="BB17" i="2"/>
  <c r="AY17" i="2"/>
  <c r="BC17" i="2"/>
  <c r="AZ17" i="2"/>
  <c r="AZ12" i="2"/>
  <c r="BA12" i="2"/>
  <c r="AY12" i="2"/>
  <c r="BB12" i="2"/>
  <c r="BC12" i="2"/>
  <c r="BA19" i="2"/>
  <c r="AY19" i="2"/>
  <c r="AZ19" i="2"/>
  <c r="BB19" i="2"/>
  <c r="BC19" i="2"/>
  <c r="BA5" i="2"/>
  <c r="AY5" i="2"/>
  <c r="AZ5" i="2"/>
  <c r="BC5" i="2"/>
  <c r="BB5" i="2"/>
  <c r="BB6" i="2"/>
  <c r="BA6" i="2"/>
  <c r="BC6" i="2"/>
  <c r="AZ6" i="2"/>
  <c r="AY6" i="2"/>
  <c r="BA9" i="2"/>
  <c r="BB9" i="2"/>
  <c r="AZ9" i="2"/>
  <c r="AY9" i="2"/>
  <c r="BC9" i="2"/>
  <c r="AZ8" i="2"/>
  <c r="AY8" i="2"/>
  <c r="BA8" i="2"/>
  <c r="BB8" i="2"/>
  <c r="BC8" i="2"/>
  <c r="BA15" i="2"/>
  <c r="BB15" i="2"/>
  <c r="AY15" i="2"/>
  <c r="BC15" i="2"/>
  <c r="AZ15" i="2"/>
  <c r="BA18" i="2"/>
  <c r="BB18" i="2"/>
  <c r="BC18" i="2"/>
  <c r="AY18" i="2"/>
  <c r="AZ18" i="2"/>
  <c r="AZ20" i="2"/>
  <c r="BA20" i="2"/>
  <c r="AY20" i="2"/>
  <c r="BB20" i="2"/>
  <c r="BC20" i="2"/>
  <c r="BA21" i="2"/>
  <c r="BB21" i="2"/>
  <c r="AY21" i="2"/>
  <c r="BC21" i="2"/>
  <c r="AZ21" i="2"/>
  <c r="BA11" i="2"/>
  <c r="BB11" i="2"/>
  <c r="AY11" i="2"/>
  <c r="BC11" i="2"/>
  <c r="AZ11" i="2"/>
  <c r="BA14" i="2"/>
  <c r="BB14" i="2"/>
  <c r="BC14" i="2"/>
  <c r="AY14" i="2"/>
  <c r="AZ14" i="2"/>
  <c r="BA16" i="2"/>
  <c r="AY16" i="2"/>
  <c r="BB16" i="2"/>
  <c r="AZ16" i="2"/>
  <c r="BC16" i="2"/>
  <c r="BA13" i="2"/>
  <c r="BB13" i="2"/>
  <c r="BC13" i="2"/>
  <c r="AZ13" i="2"/>
  <c r="AY13" i="2"/>
  <c r="BB7" i="2"/>
  <c r="BC7" i="2"/>
  <c r="AZ7" i="2"/>
  <c r="AY7" i="2"/>
  <c r="BA7" i="2"/>
  <c r="BB10" i="2"/>
  <c r="BA10" i="2"/>
  <c r="AZ10" i="2"/>
  <c r="AY10" i="2"/>
  <c r="BC10" i="2"/>
  <c r="B351" i="2"/>
  <c r="AG120" i="2"/>
  <c r="AF120" i="2" s="1"/>
  <c r="AH121" i="2"/>
  <c r="AO121" i="2" s="1"/>
  <c r="AX121" i="2"/>
  <c r="AX122" i="2" s="1"/>
  <c r="AX123" i="2" s="1"/>
  <c r="AX124" i="2" s="1"/>
  <c r="AX125" i="2" s="1"/>
  <c r="AX126" i="2" s="1"/>
  <c r="AY121" i="2"/>
  <c r="AY122" i="2" s="1"/>
  <c r="AY123" i="2" s="1"/>
  <c r="AY124" i="2" s="1"/>
  <c r="AY125" i="2" s="1"/>
  <c r="AY126" i="2" s="1"/>
  <c r="AY127" i="2" s="1"/>
  <c r="AY128" i="2" s="1"/>
  <c r="AY129" i="2" s="1"/>
  <c r="AY130" i="2" s="1"/>
  <c r="AY131" i="2" s="1"/>
  <c r="AY132" i="2" s="1"/>
  <c r="AY133" i="2" s="1"/>
  <c r="AY134" i="2" s="1"/>
  <c r="AV121" i="2"/>
  <c r="AV122" i="2" s="1"/>
  <c r="AV123" i="2" s="1"/>
  <c r="AV124" i="2" s="1"/>
  <c r="AV125" i="2" s="1"/>
  <c r="AV126" i="2" s="1"/>
  <c r="AU121" i="2"/>
  <c r="AU122" i="2" s="1"/>
  <c r="AU123" i="2" s="1"/>
  <c r="AU124" i="2" s="1"/>
  <c r="AU125" i="2" s="1"/>
  <c r="AU126" i="2" s="1"/>
  <c r="AW121" i="2"/>
  <c r="AW122" i="2" s="1"/>
  <c r="AW123" i="2" s="1"/>
  <c r="AW124" i="2" s="1"/>
  <c r="AW125" i="2" s="1"/>
  <c r="AW126" i="2" s="1"/>
  <c r="AI42" i="2"/>
  <c r="F126" i="2"/>
  <c r="T40" i="2"/>
  <c r="D70" i="2"/>
  <c r="E70" i="2" s="1"/>
  <c r="H41" i="2"/>
  <c r="F40" i="2"/>
  <c r="F42" i="2" s="1"/>
  <c r="T30" i="2"/>
  <c r="T32" i="2"/>
  <c r="T34" i="2"/>
  <c r="T36" i="2"/>
  <c r="T38" i="2"/>
  <c r="T28" i="2"/>
  <c r="BD14" i="2" l="1"/>
  <c r="AH99" i="2"/>
  <c r="AO98" i="2"/>
  <c r="AP98" i="2" s="1"/>
  <c r="B355" i="2"/>
  <c r="B353" i="2"/>
  <c r="BD15" i="2"/>
  <c r="BD21" i="2"/>
  <c r="BD19" i="2"/>
  <c r="BD20" i="2"/>
  <c r="AY135" i="2"/>
  <c r="BI134" i="2"/>
  <c r="AG121" i="2"/>
  <c r="AF121" i="2" s="1"/>
  <c r="B356" i="2"/>
  <c r="B354" i="2"/>
  <c r="B352" i="2"/>
  <c r="AH122" i="2"/>
  <c r="BD5" i="2"/>
  <c r="BD7" i="2"/>
  <c r="BD17" i="2"/>
  <c r="BD10" i="2"/>
  <c r="BD9" i="2"/>
  <c r="BD18" i="2"/>
  <c r="BD16" i="2"/>
  <c r="BD8" i="2"/>
  <c r="BD13" i="2"/>
  <c r="BD12" i="2"/>
  <c r="BD6" i="2"/>
  <c r="BD11" i="2"/>
  <c r="AI44" i="2"/>
  <c r="AO99" i="2" l="1"/>
  <c r="AP99" i="2" s="1"/>
  <c r="AH100" i="2"/>
  <c r="AG122" i="2"/>
  <c r="AF122" i="2" s="1"/>
  <c r="AO122" i="2"/>
  <c r="BI135" i="2"/>
  <c r="AY136" i="2"/>
  <c r="BI136" i="2" s="1"/>
  <c r="AH123" i="2"/>
  <c r="AI48" i="2"/>
  <c r="AI46" i="2"/>
  <c r="F127" i="2"/>
  <c r="H126" i="2"/>
  <c r="I127" i="2" s="1"/>
  <c r="H125" i="2"/>
  <c r="F125" i="2"/>
  <c r="H124" i="2"/>
  <c r="F124" i="2"/>
  <c r="H123" i="2"/>
  <c r="F123" i="2"/>
  <c r="H122" i="2"/>
  <c r="F122" i="2"/>
  <c r="H121" i="2"/>
  <c r="F121" i="2"/>
  <c r="H120" i="2"/>
  <c r="F120" i="2"/>
  <c r="D69" i="2"/>
  <c r="E69" i="2" s="1"/>
  <c r="G69" i="2" s="1"/>
  <c r="D68" i="2"/>
  <c r="E68" i="2" s="1"/>
  <c r="G68" i="2" s="1"/>
  <c r="D67" i="2"/>
  <c r="E67" i="2" s="1"/>
  <c r="G67" i="2" s="1"/>
  <c r="D66" i="2"/>
  <c r="E66" i="2" s="1"/>
  <c r="G66" i="2" s="1"/>
  <c r="D65" i="2"/>
  <c r="E65" i="2" s="1"/>
  <c r="G65" i="2" s="1"/>
  <c r="D64" i="2"/>
  <c r="E64" i="2" s="1"/>
  <c r="G64" i="2" s="1"/>
  <c r="H57" i="2"/>
  <c r="H55" i="2"/>
  <c r="H53" i="2"/>
  <c r="H51" i="2"/>
  <c r="H49" i="2"/>
  <c r="H47" i="2"/>
  <c r="H45" i="2"/>
  <c r="F44" i="2"/>
  <c r="F46" i="2" s="1"/>
  <c r="F48" i="2" s="1"/>
  <c r="F50" i="2" s="1"/>
  <c r="F52" i="2" s="1"/>
  <c r="F54" i="2" s="1"/>
  <c r="F56" i="2" s="1"/>
  <c r="H39" i="2"/>
  <c r="H37" i="2"/>
  <c r="H35" i="2"/>
  <c r="H33" i="2"/>
  <c r="H31" i="2"/>
  <c r="H29" i="2"/>
  <c r="C27" i="2"/>
  <c r="C28" i="2" s="1"/>
  <c r="AO100" i="2" l="1"/>
  <c r="AP100" i="2" s="1"/>
  <c r="AH101" i="2"/>
  <c r="AG123" i="2"/>
  <c r="AF123" i="2" s="1"/>
  <c r="AO123" i="2"/>
  <c r="AH124" i="2"/>
  <c r="P19" i="2"/>
  <c r="H68" i="2"/>
  <c r="I68" i="2" s="1"/>
  <c r="H64" i="2"/>
  <c r="I64" i="2" s="1"/>
  <c r="H65" i="2"/>
  <c r="I65" i="2" s="1"/>
  <c r="H69" i="2"/>
  <c r="I69" i="2" s="1"/>
  <c r="H67" i="2"/>
  <c r="I67" i="2" s="1"/>
  <c r="H66" i="2"/>
  <c r="H70" i="2"/>
  <c r="H71" i="2"/>
  <c r="I121" i="2"/>
  <c r="I122" i="2"/>
  <c r="F67" i="2"/>
  <c r="F71" i="2"/>
  <c r="F69" i="2"/>
  <c r="F68" i="2"/>
  <c r="F64" i="2"/>
  <c r="F66" i="2"/>
  <c r="F70" i="2"/>
  <c r="I66" i="2"/>
  <c r="F65" i="2"/>
  <c r="I123" i="2"/>
  <c r="I125" i="2"/>
  <c r="I126" i="2"/>
  <c r="I124" i="2"/>
  <c r="I120" i="2"/>
  <c r="C103" i="2" s="1"/>
  <c r="J103" i="2" s="1"/>
  <c r="K103" i="2" s="1"/>
  <c r="B404" i="1"/>
  <c r="C412" i="1"/>
  <c r="C413" i="1" s="1"/>
  <c r="C414" i="1" s="1"/>
  <c r="C415" i="1" s="1"/>
  <c r="C416" i="1" s="1"/>
  <c r="C417" i="1" s="1"/>
  <c r="C418" i="1" s="1"/>
  <c r="C419" i="1" s="1"/>
  <c r="D383" i="1"/>
  <c r="D384" i="1" s="1"/>
  <c r="D385" i="1" s="1"/>
  <c r="D386" i="1" s="1"/>
  <c r="D387" i="1" s="1"/>
  <c r="D388" i="1" s="1"/>
  <c r="D389" i="1" s="1"/>
  <c r="D390" i="1" s="1"/>
  <c r="B391" i="1"/>
  <c r="B392" i="1"/>
  <c r="B393" i="1"/>
  <c r="B394" i="1"/>
  <c r="B390" i="1"/>
  <c r="B369" i="1"/>
  <c r="B370" i="1"/>
  <c r="B371" i="1"/>
  <c r="B372" i="1"/>
  <c r="B373" i="1"/>
  <c r="B368" i="1"/>
  <c r="D412" i="1" l="1"/>
  <c r="D413" i="1" s="1"/>
  <c r="D414" i="1" s="1"/>
  <c r="D415" i="1" s="1"/>
  <c r="D416" i="1" s="1"/>
  <c r="D417" i="1" s="1"/>
  <c r="D418" i="1" s="1"/>
  <c r="D419" i="1" s="1"/>
  <c r="AO101" i="2"/>
  <c r="AP101" i="2" s="1"/>
  <c r="AH102" i="2"/>
  <c r="C104" i="2"/>
  <c r="J104" i="2" s="1"/>
  <c r="K104" i="2" s="1"/>
  <c r="AG124" i="2"/>
  <c r="AF124" i="2" s="1"/>
  <c r="AO124" i="2"/>
  <c r="AH125" i="2"/>
  <c r="AO125" i="2" s="1"/>
  <c r="Y11" i="2"/>
  <c r="X11" i="2"/>
  <c r="U11" i="2"/>
  <c r="V11" i="2"/>
  <c r="W11" i="2"/>
  <c r="U6" i="2"/>
  <c r="V6" i="2"/>
  <c r="X6" i="2"/>
  <c r="Y6" i="2"/>
  <c r="W6" i="2"/>
  <c r="X7" i="2"/>
  <c r="V7" i="2"/>
  <c r="Y7" i="2"/>
  <c r="U7" i="2"/>
  <c r="W7" i="2"/>
  <c r="W5" i="2"/>
  <c r="V5" i="2"/>
  <c r="X5" i="2"/>
  <c r="U5" i="2"/>
  <c r="Y5" i="2"/>
  <c r="V8" i="2"/>
  <c r="U8" i="2"/>
  <c r="Y8" i="2"/>
  <c r="W8" i="2"/>
  <c r="X8" i="2"/>
  <c r="Y9" i="2"/>
  <c r="W9" i="2"/>
  <c r="U9" i="2"/>
  <c r="V9" i="2"/>
  <c r="X9" i="2"/>
  <c r="X10" i="2"/>
  <c r="V10" i="2"/>
  <c r="W10" i="2"/>
  <c r="U10" i="2"/>
  <c r="Y10" i="2"/>
  <c r="Q120" i="2"/>
  <c r="O120" i="2"/>
  <c r="M120" i="2"/>
  <c r="N120" i="2"/>
  <c r="P120" i="2"/>
  <c r="AI50" i="2"/>
  <c r="W337" i="1"/>
  <c r="W336" i="1"/>
  <c r="W335" i="1"/>
  <c r="W334" i="1"/>
  <c r="W333" i="1"/>
  <c r="W332" i="1"/>
  <c r="W331" i="1"/>
  <c r="W330" i="1"/>
  <c r="W329" i="1"/>
  <c r="W328" i="1"/>
  <c r="W327" i="1"/>
  <c r="W326" i="1"/>
  <c r="AH126" i="2" l="1"/>
  <c r="AH127" i="2" s="1"/>
  <c r="C105" i="2"/>
  <c r="J105" i="2" s="1"/>
  <c r="K105" i="2" s="1"/>
  <c r="C106" i="2"/>
  <c r="J106" i="2" s="1"/>
  <c r="K106" i="2" s="1"/>
  <c r="AO102" i="2"/>
  <c r="AP102" i="2" s="1"/>
  <c r="AH103" i="2"/>
  <c r="AG125" i="2"/>
  <c r="AF125" i="2" s="1"/>
  <c r="AG127" i="2"/>
  <c r="AF127" i="2" s="1"/>
  <c r="AO127" i="2"/>
  <c r="AG126" i="2"/>
  <c r="AF126" i="2" s="1"/>
  <c r="AO126" i="2"/>
  <c r="Z5" i="2"/>
  <c r="Z11" i="2"/>
  <c r="Z10" i="2"/>
  <c r="Z9" i="2"/>
  <c r="Z8" i="2"/>
  <c r="Z7" i="2"/>
  <c r="Z6" i="2"/>
  <c r="Z120" i="2"/>
  <c r="P121" i="2"/>
  <c r="X120" i="2"/>
  <c r="N121" i="2"/>
  <c r="W120" i="2"/>
  <c r="M121" i="2"/>
  <c r="Y120" i="2"/>
  <c r="O121" i="2"/>
  <c r="AA120" i="2"/>
  <c r="Q121" i="2"/>
  <c r="AI52" i="2"/>
  <c r="AH128" i="2"/>
  <c r="W308" i="1"/>
  <c r="W309" i="1"/>
  <c r="W303" i="1"/>
  <c r="W304" i="1"/>
  <c r="W305" i="1"/>
  <c r="W306" i="1"/>
  <c r="W307" i="1"/>
  <c r="W310" i="1"/>
  <c r="W311" i="1"/>
  <c r="W312" i="1"/>
  <c r="W313" i="1"/>
  <c r="W302" i="1"/>
  <c r="C107" i="2" l="1"/>
  <c r="J107" i="2" s="1"/>
  <c r="K107" i="2" s="1"/>
  <c r="AO103" i="2"/>
  <c r="AP103" i="2" s="1"/>
  <c r="AH104" i="2"/>
  <c r="AG128" i="2"/>
  <c r="AF128" i="2" s="1"/>
  <c r="AO128" i="2"/>
  <c r="W121" i="2"/>
  <c r="M122" i="2"/>
  <c r="P122" i="2"/>
  <c r="Z121" i="2"/>
  <c r="AI54" i="2"/>
  <c r="O122" i="2"/>
  <c r="Y121" i="2"/>
  <c r="X121" i="2"/>
  <c r="N122" i="2"/>
  <c r="Q122" i="2"/>
  <c r="AA121" i="2"/>
  <c r="AH129" i="2"/>
  <c r="C318" i="1"/>
  <c r="C317" i="1"/>
  <c r="W61" i="1"/>
  <c r="U61" i="1"/>
  <c r="W60" i="1"/>
  <c r="X60" i="1" s="1"/>
  <c r="U60" i="1"/>
  <c r="W59" i="1"/>
  <c r="X59" i="1" s="1"/>
  <c r="R59" i="1" s="1"/>
  <c r="Y59" i="1" s="1"/>
  <c r="U59" i="1"/>
  <c r="W69" i="1"/>
  <c r="U69" i="1"/>
  <c r="W68" i="1"/>
  <c r="U68" i="1"/>
  <c r="W67" i="1"/>
  <c r="U67" i="1"/>
  <c r="W66" i="1"/>
  <c r="X66" i="1" s="1"/>
  <c r="R66" i="1" s="1"/>
  <c r="Y66" i="1" s="1"/>
  <c r="U66" i="1"/>
  <c r="C108" i="2" l="1"/>
  <c r="J108" i="2" s="1"/>
  <c r="K108" i="2" s="1"/>
  <c r="X61" i="1"/>
  <c r="AO104" i="2"/>
  <c r="AP104" i="2" s="1"/>
  <c r="AH105" i="2"/>
  <c r="AG129" i="2"/>
  <c r="AF129" i="2" s="1"/>
  <c r="AO129" i="2"/>
  <c r="AI56" i="2"/>
  <c r="M123" i="2"/>
  <c r="W122" i="2"/>
  <c r="Q123" i="2"/>
  <c r="AA122" i="2"/>
  <c r="O123" i="2"/>
  <c r="Y122" i="2"/>
  <c r="N123" i="2"/>
  <c r="X122" i="2"/>
  <c r="P123" i="2"/>
  <c r="Z122" i="2"/>
  <c r="AH130" i="2"/>
  <c r="X68" i="1"/>
  <c r="R60" i="1"/>
  <c r="Y60" i="1" s="1"/>
  <c r="X67" i="1"/>
  <c r="R67" i="1" s="1"/>
  <c r="Y67" i="1" s="1"/>
  <c r="X69" i="1"/>
  <c r="B295" i="1"/>
  <c r="B296" i="1"/>
  <c r="B297" i="1"/>
  <c r="B298" i="1"/>
  <c r="B299" i="1"/>
  <c r="B300" i="1"/>
  <c r="B301" i="1"/>
  <c r="B302" i="1"/>
  <c r="B303" i="1"/>
  <c r="B294" i="1"/>
  <c r="AU57" i="1"/>
  <c r="AU56" i="1"/>
  <c r="AU55" i="1"/>
  <c r="AU54" i="1"/>
  <c r="AU53" i="1"/>
  <c r="AU52" i="1"/>
  <c r="AU51" i="1"/>
  <c r="AU50" i="1"/>
  <c r="AU49" i="1"/>
  <c r="AU48" i="1"/>
  <c r="CE57" i="1"/>
  <c r="CE56" i="1"/>
  <c r="CE55" i="1"/>
  <c r="CE54" i="1"/>
  <c r="CE53" i="1"/>
  <c r="CE52" i="1"/>
  <c r="CE51" i="1"/>
  <c r="CE50" i="1"/>
  <c r="CE49" i="1"/>
  <c r="CE48" i="1"/>
  <c r="CM57" i="1"/>
  <c r="CM56" i="1"/>
  <c r="CM55" i="1"/>
  <c r="CM54" i="1"/>
  <c r="CM53" i="1"/>
  <c r="CM52" i="1"/>
  <c r="CM51" i="1"/>
  <c r="CM50" i="1"/>
  <c r="CM49" i="1"/>
  <c r="CM48" i="1"/>
  <c r="DI53" i="1"/>
  <c r="DI54" i="1"/>
  <c r="DI55" i="1"/>
  <c r="DI56" i="1"/>
  <c r="DI57" i="1"/>
  <c r="DI58" i="1"/>
  <c r="DI59" i="1"/>
  <c r="DI60" i="1"/>
  <c r="DI61" i="1"/>
  <c r="DI52" i="1"/>
  <c r="Q37" i="1"/>
  <c r="Q38" i="1"/>
  <c r="Q39" i="1"/>
  <c r="Q40" i="1"/>
  <c r="Q41" i="1"/>
  <c r="Q42" i="1"/>
  <c r="Q43" i="1"/>
  <c r="Q44" i="1"/>
  <c r="Q45" i="1"/>
  <c r="Q46" i="1"/>
  <c r="Q36" i="1"/>
  <c r="P21" i="1"/>
  <c r="P20" i="1"/>
  <c r="P19" i="1"/>
  <c r="P18" i="1"/>
  <c r="F19" i="1"/>
  <c r="F20" i="1"/>
  <c r="F18" i="1"/>
  <c r="C109" i="2" l="1"/>
  <c r="J109" i="2" s="1"/>
  <c r="K109" i="2" s="1"/>
  <c r="AO105" i="2"/>
  <c r="AP105" i="2" s="1"/>
  <c r="AH106" i="2"/>
  <c r="AG130" i="2"/>
  <c r="AF130" i="2" s="1"/>
  <c r="AO130" i="2"/>
  <c r="AB122" i="2"/>
  <c r="P124" i="2"/>
  <c r="Z123" i="2"/>
  <c r="O124" i="2"/>
  <c r="Y123" i="2"/>
  <c r="M124" i="2"/>
  <c r="W123" i="2"/>
  <c r="N124" i="2"/>
  <c r="X123" i="2"/>
  <c r="Q124" i="2"/>
  <c r="AA123" i="2"/>
  <c r="AI60" i="2"/>
  <c r="AI58" i="2"/>
  <c r="AH131" i="2"/>
  <c r="R61" i="1"/>
  <c r="R68" i="1"/>
  <c r="Y68" i="1" s="1"/>
  <c r="CB36" i="1"/>
  <c r="CB37" i="1"/>
  <c r="CB38" i="1"/>
  <c r="CB39" i="1"/>
  <c r="CB40" i="1"/>
  <c r="CB46" i="1"/>
  <c r="CB35" i="1"/>
  <c r="BU36" i="1"/>
  <c r="BU37" i="1"/>
  <c r="BU38" i="1"/>
  <c r="BU39" i="1"/>
  <c r="BU40" i="1"/>
  <c r="BU41" i="1"/>
  <c r="BU42" i="1"/>
  <c r="BU35" i="1"/>
  <c r="BN36" i="1"/>
  <c r="BN37" i="1"/>
  <c r="BN38" i="1"/>
  <c r="BN39" i="1"/>
  <c r="BN40" i="1"/>
  <c r="BN41" i="1"/>
  <c r="BN42" i="1"/>
  <c r="BN43" i="1"/>
  <c r="BN35" i="1"/>
  <c r="BG36" i="1"/>
  <c r="BG37" i="1"/>
  <c r="BG38" i="1"/>
  <c r="BG39" i="1"/>
  <c r="BG40" i="1"/>
  <c r="BG41" i="1"/>
  <c r="BG42" i="1"/>
  <c r="BG35" i="1"/>
  <c r="AC37" i="1"/>
  <c r="AC38" i="1"/>
  <c r="AC39" i="1"/>
  <c r="AC40" i="1"/>
  <c r="AC41" i="1"/>
  <c r="AC42" i="1"/>
  <c r="AC43" i="1"/>
  <c r="AC44" i="1"/>
  <c r="AC45" i="1"/>
  <c r="AC46" i="1"/>
  <c r="AC36" i="1"/>
  <c r="AZ36" i="1"/>
  <c r="AZ37" i="1"/>
  <c r="AZ38" i="1"/>
  <c r="AZ39" i="1"/>
  <c r="AZ40" i="1"/>
  <c r="AZ41" i="1"/>
  <c r="AZ35" i="1"/>
  <c r="AS36" i="1"/>
  <c r="AS37" i="1"/>
  <c r="AS38" i="1"/>
  <c r="AS39" i="1"/>
  <c r="AS40" i="1"/>
  <c r="AS41" i="1"/>
  <c r="AS42" i="1"/>
  <c r="AS35" i="1"/>
  <c r="AO106" i="2" l="1"/>
  <c r="AP106" i="2" s="1"/>
  <c r="AH107" i="2"/>
  <c r="R69" i="1"/>
  <c r="Y69" i="1" s="1"/>
  <c r="AG131" i="2"/>
  <c r="AF131" i="2" s="1"/>
  <c r="AO131" i="2"/>
  <c r="N125" i="2"/>
  <c r="X124" i="2"/>
  <c r="O125" i="2"/>
  <c r="Y124" i="2"/>
  <c r="AB123" i="2"/>
  <c r="Q125" i="2"/>
  <c r="AA124" i="2"/>
  <c r="M125" i="2"/>
  <c r="W124" i="2"/>
  <c r="P125" i="2"/>
  <c r="Z124" i="2"/>
  <c r="AH132" i="2"/>
  <c r="Y61" i="1"/>
  <c r="U74" i="1"/>
  <c r="U75" i="1"/>
  <c r="U76" i="1"/>
  <c r="U77" i="1"/>
  <c r="U78" i="1"/>
  <c r="U79" i="1"/>
  <c r="U80" i="1"/>
  <c r="U81" i="1"/>
  <c r="U82" i="1"/>
  <c r="U83" i="1"/>
  <c r="U73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28" i="1"/>
  <c r="AO107" i="2" l="1"/>
  <c r="AP107" i="2" s="1"/>
  <c r="AH108" i="2"/>
  <c r="AG132" i="2"/>
  <c r="AF132" i="2" s="1"/>
  <c r="AO132" i="2"/>
  <c r="M126" i="2"/>
  <c r="W126" i="2" s="1"/>
  <c r="W125" i="2"/>
  <c r="O126" i="2"/>
  <c r="Y126" i="2" s="1"/>
  <c r="Y125" i="2"/>
  <c r="P126" i="2"/>
  <c r="Z126" i="2" s="1"/>
  <c r="Z125" i="2"/>
  <c r="Q126" i="2"/>
  <c r="AA126" i="2" s="1"/>
  <c r="AA125" i="2"/>
  <c r="AH133" i="2"/>
  <c r="AO133" i="2" s="1"/>
  <c r="AB124" i="2"/>
  <c r="N126" i="2"/>
  <c r="X126" i="2" s="1"/>
  <c r="X125" i="2"/>
  <c r="Y154" i="1"/>
  <c r="Y153" i="1"/>
  <c r="DE65" i="1"/>
  <c r="DE66" i="1"/>
  <c r="DE63" i="1"/>
  <c r="DE64" i="1"/>
  <c r="DE60" i="1"/>
  <c r="DE61" i="1"/>
  <c r="DE62" i="1"/>
  <c r="DE53" i="1"/>
  <c r="DE54" i="1"/>
  <c r="DE55" i="1"/>
  <c r="DE56" i="1"/>
  <c r="DE57" i="1"/>
  <c r="DE59" i="1"/>
  <c r="DE52" i="1"/>
  <c r="CX57" i="1"/>
  <c r="CX50" i="1"/>
  <c r="CX51" i="1"/>
  <c r="CX52" i="1"/>
  <c r="CX53" i="1"/>
  <c r="CX54" i="1"/>
  <c r="CX55" i="1"/>
  <c r="CX49" i="1"/>
  <c r="CQ49" i="1"/>
  <c r="CQ50" i="1"/>
  <c r="CQ51" i="1"/>
  <c r="CQ52" i="1"/>
  <c r="CQ53" i="1"/>
  <c r="CQ54" i="1"/>
  <c r="CQ48" i="1"/>
  <c r="CI49" i="1"/>
  <c r="CI50" i="1"/>
  <c r="CI51" i="1"/>
  <c r="CI52" i="1"/>
  <c r="CI53" i="1"/>
  <c r="CI54" i="1"/>
  <c r="CI55" i="1"/>
  <c r="CI57" i="1"/>
  <c r="CI58" i="1"/>
  <c r="CI48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73" i="1"/>
  <c r="AX74" i="1"/>
  <c r="AX75" i="1"/>
  <c r="AX76" i="1"/>
  <c r="AX77" i="1"/>
  <c r="AX78" i="1"/>
  <c r="AX79" i="1"/>
  <c r="AX80" i="1"/>
  <c r="AX81" i="1"/>
  <c r="AX73" i="1"/>
  <c r="AD74" i="1"/>
  <c r="AD75" i="1"/>
  <c r="AD76" i="1"/>
  <c r="AD77" i="1"/>
  <c r="AD78" i="1"/>
  <c r="AD79" i="1"/>
  <c r="AD80" i="1"/>
  <c r="AD81" i="1"/>
  <c r="AD82" i="1"/>
  <c r="AD83" i="1"/>
  <c r="AD73" i="1"/>
  <c r="AO108" i="2" l="1"/>
  <c r="AP108" i="2" s="1"/>
  <c r="AH109" i="2"/>
  <c r="AG133" i="2"/>
  <c r="AF133" i="2" s="1"/>
  <c r="AH134" i="2"/>
  <c r="AO134" i="2" s="1"/>
  <c r="AB125" i="2"/>
  <c r="AB126" i="2"/>
  <c r="BJ87" i="1"/>
  <c r="DG50" i="1"/>
  <c r="DH50" i="1" s="1"/>
  <c r="GS33" i="1"/>
  <c r="AO109" i="2" l="1"/>
  <c r="AP109" i="2" s="1"/>
  <c r="AH110" i="2"/>
  <c r="AG134" i="2"/>
  <c r="AF134" i="2" s="1"/>
  <c r="AH135" i="2"/>
  <c r="AO135" i="2" s="1"/>
  <c r="BJ86" i="1"/>
  <c r="DG49" i="1"/>
  <c r="DH49" i="1" s="1"/>
  <c r="GS31" i="1"/>
  <c r="BJ85" i="1"/>
  <c r="DG48" i="1"/>
  <c r="DH48" i="1" s="1"/>
  <c r="GS29" i="1"/>
  <c r="AO110" i="2" l="1"/>
  <c r="AP110" i="2" s="1"/>
  <c r="AH111" i="2"/>
  <c r="BK86" i="1"/>
  <c r="AG135" i="2"/>
  <c r="AF135" i="2" s="1"/>
  <c r="AH136" i="2"/>
  <c r="AO136" i="2" s="1"/>
  <c r="BK87" i="1"/>
  <c r="BJ84" i="1"/>
  <c r="DG47" i="1"/>
  <c r="DH47" i="1" s="1"/>
  <c r="GS27" i="1"/>
  <c r="GN3" i="1"/>
  <c r="BJ83" i="1"/>
  <c r="DG46" i="1"/>
  <c r="DH46" i="1" s="1"/>
  <c r="GS25" i="1"/>
  <c r="AO111" i="2" l="1"/>
  <c r="AP111" i="2" s="1"/>
  <c r="AH112" i="2"/>
  <c r="AO112" i="2" s="1"/>
  <c r="AP112" i="2" s="1"/>
  <c r="AG136" i="2"/>
  <c r="AF136" i="2" s="1"/>
  <c r="BK84" i="1"/>
  <c r="BK85" i="1"/>
  <c r="BJ82" i="1"/>
  <c r="BK83" i="1" s="1"/>
  <c r="DG45" i="1"/>
  <c r="DH45" i="1" s="1"/>
  <c r="GS23" i="1"/>
  <c r="BJ81" i="1"/>
  <c r="DG44" i="1"/>
  <c r="DH44" i="1" s="1"/>
  <c r="GS21" i="1"/>
  <c r="BK82" i="1" l="1"/>
  <c r="BJ80" i="1"/>
  <c r="BK81" i="1" s="1"/>
  <c r="DG43" i="1"/>
  <c r="DH43" i="1" s="1"/>
  <c r="GS19" i="1"/>
  <c r="GS7" i="1"/>
  <c r="GS5" i="1"/>
  <c r="BJ79" i="1"/>
  <c r="BJ78" i="1"/>
  <c r="BJ77" i="1"/>
  <c r="BJ76" i="1"/>
  <c r="BJ75" i="1"/>
  <c r="BJ74" i="1"/>
  <c r="BJ73" i="1"/>
  <c r="BK73" i="1" s="1"/>
  <c r="BE73" i="1" s="1"/>
  <c r="BL73" i="1" s="1"/>
  <c r="AZ81" i="1"/>
  <c r="CZ44" i="1"/>
  <c r="DA44" i="1" s="1"/>
  <c r="GB21" i="1"/>
  <c r="DE42" i="1"/>
  <c r="DE58" i="1" s="1"/>
  <c r="DG42" i="1"/>
  <c r="DH42" i="1" s="1"/>
  <c r="DG41" i="1"/>
  <c r="DH41" i="1" s="1"/>
  <c r="DG40" i="1"/>
  <c r="DH40" i="1" s="1"/>
  <c r="DG39" i="1"/>
  <c r="DH39" i="1" s="1"/>
  <c r="DG38" i="1"/>
  <c r="DH38" i="1" s="1"/>
  <c r="DG37" i="1"/>
  <c r="DH37" i="1" s="1"/>
  <c r="DG36" i="1"/>
  <c r="DH36" i="1" s="1"/>
  <c r="GQ16" i="1"/>
  <c r="GQ18" i="1" s="1"/>
  <c r="GQ20" i="1" s="1"/>
  <c r="GQ22" i="1" s="1"/>
  <c r="GQ24" i="1" s="1"/>
  <c r="GQ26" i="1" s="1"/>
  <c r="GQ28" i="1" s="1"/>
  <c r="GQ30" i="1" s="1"/>
  <c r="GQ32" i="1" s="1"/>
  <c r="GS17" i="1"/>
  <c r="GS15" i="1"/>
  <c r="GS13" i="1"/>
  <c r="GS11" i="1"/>
  <c r="GS9" i="1"/>
  <c r="GN4" i="1"/>
  <c r="BK74" i="1" l="1"/>
  <c r="DI47" i="1"/>
  <c r="DI50" i="1"/>
  <c r="DI49" i="1"/>
  <c r="DI48" i="1"/>
  <c r="BK75" i="1"/>
  <c r="BK77" i="1"/>
  <c r="BK80" i="1"/>
  <c r="BK76" i="1"/>
  <c r="BK78" i="1"/>
  <c r="DI38" i="1"/>
  <c r="DI46" i="1"/>
  <c r="DI43" i="1"/>
  <c r="DI45" i="1"/>
  <c r="DI44" i="1"/>
  <c r="DI36" i="1"/>
  <c r="DF52" i="1" s="1"/>
  <c r="DJ52" i="1" s="1"/>
  <c r="C294" i="1" s="1"/>
  <c r="DI42" i="1"/>
  <c r="DI39" i="1"/>
  <c r="DI37" i="1"/>
  <c r="DI41" i="1"/>
  <c r="DI40" i="1"/>
  <c r="BE74" i="1"/>
  <c r="BL74" i="1" s="1"/>
  <c r="BK79" i="1"/>
  <c r="AZ80" i="1"/>
  <c r="BA81" i="1" s="1"/>
  <c r="CZ43" i="1"/>
  <c r="DA43" i="1"/>
  <c r="CX43" i="1"/>
  <c r="CX56" i="1" s="1"/>
  <c r="GB19" i="1"/>
  <c r="FZ18" i="1"/>
  <c r="FZ20" i="1" s="1"/>
  <c r="AZ79" i="1"/>
  <c r="AZ78" i="1"/>
  <c r="AZ77" i="1"/>
  <c r="AZ76" i="1"/>
  <c r="AZ75" i="1"/>
  <c r="AZ74" i="1"/>
  <c r="AZ73" i="1"/>
  <c r="BA73" i="1" s="1"/>
  <c r="AU73" i="1" s="1"/>
  <c r="CZ42" i="1"/>
  <c r="DA42" i="1" s="1"/>
  <c r="CZ41" i="1"/>
  <c r="DA41" i="1" s="1"/>
  <c r="CZ40" i="1"/>
  <c r="DA40" i="1" s="1"/>
  <c r="CZ39" i="1"/>
  <c r="DA39" i="1" s="1"/>
  <c r="CZ38" i="1"/>
  <c r="DA38" i="1" s="1"/>
  <c r="CZ37" i="1"/>
  <c r="DA37" i="1" s="1"/>
  <c r="CZ36" i="1"/>
  <c r="DA36" i="1" s="1"/>
  <c r="GB5" i="1"/>
  <c r="FW3" i="1"/>
  <c r="FW4" i="1" s="1"/>
  <c r="GB17" i="1"/>
  <c r="GB15" i="1"/>
  <c r="GB13" i="1"/>
  <c r="GB11" i="1"/>
  <c r="GB9" i="1"/>
  <c r="GB7" i="1"/>
  <c r="DF57" i="1" l="1"/>
  <c r="DJ57" i="1" s="1"/>
  <c r="C299" i="1" s="1"/>
  <c r="BA80" i="1"/>
  <c r="DF56" i="1"/>
  <c r="DJ56" i="1" s="1"/>
  <c r="C298" i="1" s="1"/>
  <c r="DF58" i="1"/>
  <c r="DF59" i="1"/>
  <c r="DF64" i="1"/>
  <c r="DF65" i="1"/>
  <c r="DJ60" i="1" s="1"/>
  <c r="C302" i="1" s="1"/>
  <c r="DF62" i="1"/>
  <c r="BA76" i="1"/>
  <c r="DF53" i="1"/>
  <c r="DJ53" i="1" s="1"/>
  <c r="C295" i="1" s="1"/>
  <c r="DF60" i="1"/>
  <c r="DJ58" i="1" s="1"/>
  <c r="C300" i="1" s="1"/>
  <c r="DF54" i="1"/>
  <c r="DJ54" i="1" s="1"/>
  <c r="C296" i="1" s="1"/>
  <c r="DF66" i="1"/>
  <c r="DJ61" i="1" s="1"/>
  <c r="C303" i="1" s="1"/>
  <c r="DF55" i="1"/>
  <c r="DJ55" i="1" s="1"/>
  <c r="C297" i="1" s="1"/>
  <c r="DF61" i="1"/>
  <c r="DJ59" i="1" s="1"/>
  <c r="C301" i="1" s="1"/>
  <c r="DF63" i="1"/>
  <c r="DB44" i="1"/>
  <c r="DB37" i="1"/>
  <c r="DB40" i="1"/>
  <c r="DB43" i="1"/>
  <c r="DB41" i="1"/>
  <c r="DB36" i="1"/>
  <c r="DB38" i="1"/>
  <c r="BA74" i="1"/>
  <c r="AU74" i="1" s="1"/>
  <c r="BB74" i="1" s="1"/>
  <c r="DB42" i="1"/>
  <c r="DB39" i="1"/>
  <c r="BA78" i="1"/>
  <c r="BA75" i="1"/>
  <c r="BE75" i="1"/>
  <c r="BL75" i="1" s="1"/>
  <c r="BA77" i="1"/>
  <c r="BA79" i="1"/>
  <c r="BB73" i="1"/>
  <c r="BE76" i="1" l="1"/>
  <c r="BL76" i="1" s="1"/>
  <c r="AU75" i="1"/>
  <c r="BE77" i="1" l="1"/>
  <c r="BE78" i="1" s="1"/>
  <c r="BL78" i="1" s="1"/>
  <c r="BB75" i="1"/>
  <c r="AU76" i="1"/>
  <c r="BE79" i="1" l="1"/>
  <c r="BE80" i="1" s="1"/>
  <c r="BL80" i="1" s="1"/>
  <c r="BL77" i="1"/>
  <c r="BB76" i="1"/>
  <c r="AU77" i="1"/>
  <c r="BL79" i="1" l="1"/>
  <c r="BE81" i="1"/>
  <c r="BL81" i="1" s="1"/>
  <c r="BB77" i="1"/>
  <c r="AU78" i="1"/>
  <c r="AU79" i="1" s="1"/>
  <c r="AU80" i="1" s="1"/>
  <c r="AU81" i="1" s="1"/>
  <c r="BB81" i="1" s="1"/>
  <c r="BE82" i="1" l="1"/>
  <c r="BE83" i="1" s="1"/>
  <c r="BB78" i="1"/>
  <c r="BL82" i="1" l="1"/>
  <c r="BL83" i="1"/>
  <c r="BE84" i="1"/>
  <c r="BB79" i="1"/>
  <c r="BL84" i="1" l="1"/>
  <c r="BE85" i="1"/>
  <c r="Z155" i="1"/>
  <c r="AP79" i="1"/>
  <c r="CS41" i="1"/>
  <c r="CT41" i="1" s="1"/>
  <c r="Z156" i="1" l="1"/>
  <c r="Y155" i="1"/>
  <c r="BL85" i="1"/>
  <c r="BE86" i="1"/>
  <c r="FI17" i="1"/>
  <c r="BL86" i="1" l="1"/>
  <c r="BE87" i="1"/>
  <c r="BL87" i="1" s="1"/>
  <c r="Z157" i="1"/>
  <c r="Y156" i="1"/>
  <c r="AP78" i="1"/>
  <c r="AQ79" i="1" s="1"/>
  <c r="AP77" i="1"/>
  <c r="AP76" i="1"/>
  <c r="AP75" i="1"/>
  <c r="AP74" i="1"/>
  <c r="AP73" i="1"/>
  <c r="AQ73" i="1" s="1"/>
  <c r="AK73" i="1" s="1"/>
  <c r="CS40" i="1"/>
  <c r="CT40" i="1" s="1"/>
  <c r="CS39" i="1"/>
  <c r="CT39" i="1" s="1"/>
  <c r="CS38" i="1"/>
  <c r="CT38" i="1" s="1"/>
  <c r="CS37" i="1"/>
  <c r="CT37" i="1" s="1"/>
  <c r="CS36" i="1"/>
  <c r="CT36" i="1" s="1"/>
  <c r="CS35" i="1"/>
  <c r="CT35" i="1" s="1"/>
  <c r="FI15" i="1"/>
  <c r="FI5" i="1"/>
  <c r="FD3" i="1"/>
  <c r="FC8" i="1"/>
  <c r="FC9" i="1" s="1"/>
  <c r="FC10" i="1" s="1"/>
  <c r="Z158" i="1" l="1"/>
  <c r="Y157" i="1"/>
  <c r="AQ76" i="1"/>
  <c r="AQ77" i="1"/>
  <c r="AQ74" i="1"/>
  <c r="AK74" i="1" s="1"/>
  <c r="AQ78" i="1"/>
  <c r="AQ75" i="1"/>
  <c r="FI13" i="1"/>
  <c r="FI11" i="1"/>
  <c r="FI9" i="1"/>
  <c r="FI7" i="1"/>
  <c r="FD4" i="1"/>
  <c r="CU41" i="1" s="1"/>
  <c r="Z159" i="1" l="1"/>
  <c r="Y158" i="1"/>
  <c r="CU38" i="1"/>
  <c r="CU39" i="1"/>
  <c r="CU36" i="1"/>
  <c r="CU40" i="1"/>
  <c r="CU37" i="1"/>
  <c r="CU35" i="1"/>
  <c r="AK75" i="1"/>
  <c r="AK76" i="1" s="1"/>
  <c r="AK77" i="1" s="1"/>
  <c r="AK78" i="1" s="1"/>
  <c r="AK79" i="1" s="1"/>
  <c r="AR79" i="1" s="1"/>
  <c r="AF83" i="1"/>
  <c r="CK45" i="1"/>
  <c r="CL45" i="1" s="1"/>
  <c r="EN25" i="1"/>
  <c r="EN23" i="1"/>
  <c r="AF82" i="1"/>
  <c r="CK44" i="1"/>
  <c r="CL44" i="1" s="1"/>
  <c r="EL22" i="1"/>
  <c r="EL24" i="1" s="1"/>
  <c r="Z160" i="1" l="1"/>
  <c r="Y159" i="1"/>
  <c r="AG83" i="1"/>
  <c r="AF81" i="1"/>
  <c r="CK43" i="1"/>
  <c r="CL43" i="1" s="1"/>
  <c r="CI43" i="1"/>
  <c r="CI56" i="1" s="1"/>
  <c r="EN21" i="1"/>
  <c r="EL20" i="1"/>
  <c r="Z161" i="1" l="1"/>
  <c r="Y160" i="1"/>
  <c r="AG82" i="1"/>
  <c r="AF80" i="1"/>
  <c r="AF79" i="1"/>
  <c r="AF78" i="1"/>
  <c r="AF77" i="1"/>
  <c r="AF76" i="1"/>
  <c r="AF75" i="1"/>
  <c r="AF74" i="1"/>
  <c r="AF73" i="1"/>
  <c r="AG73" i="1" s="1"/>
  <c r="CK42" i="1"/>
  <c r="CL42" i="1" s="1"/>
  <c r="CK41" i="1"/>
  <c r="CL41" i="1" s="1"/>
  <c r="CK40" i="1"/>
  <c r="CL40" i="1" s="1"/>
  <c r="CK39" i="1"/>
  <c r="CL39" i="1" s="1"/>
  <c r="CK38" i="1"/>
  <c r="CL38" i="1" s="1"/>
  <c r="CK37" i="1"/>
  <c r="CL37" i="1" s="1"/>
  <c r="CK36" i="1"/>
  <c r="CL36" i="1" s="1"/>
  <c r="CK35" i="1"/>
  <c r="CL35" i="1" s="1"/>
  <c r="EL18" i="1"/>
  <c r="EN17" i="1"/>
  <c r="EL16" i="1"/>
  <c r="EP4" i="1"/>
  <c r="EN5" i="1" s="1"/>
  <c r="EI3" i="1"/>
  <c r="EI4" i="1" s="1"/>
  <c r="EN19" i="1"/>
  <c r="EN15" i="1"/>
  <c r="EN13" i="1"/>
  <c r="EN11" i="1"/>
  <c r="EN9" i="1"/>
  <c r="EN7" i="1"/>
  <c r="Z162" i="1" l="1"/>
  <c r="Y161" i="1"/>
  <c r="AG76" i="1"/>
  <c r="AG80" i="1"/>
  <c r="AG81" i="1"/>
  <c r="AG79" i="1"/>
  <c r="CM37" i="1"/>
  <c r="CM41" i="1"/>
  <c r="CM45" i="1"/>
  <c r="CM38" i="1"/>
  <c r="CM42" i="1"/>
  <c r="CM35" i="1"/>
  <c r="CJ48" i="1" s="1"/>
  <c r="CN48" i="1" s="1"/>
  <c r="D294" i="1" s="1"/>
  <c r="CM39" i="1"/>
  <c r="CM43" i="1"/>
  <c r="CM36" i="1"/>
  <c r="CM40" i="1"/>
  <c r="CM44" i="1"/>
  <c r="AG75" i="1"/>
  <c r="AG77" i="1"/>
  <c r="AG74" i="1"/>
  <c r="AG78" i="1"/>
  <c r="V140" i="1"/>
  <c r="CJ55" i="1" l="1"/>
  <c r="CN54" i="1" s="1"/>
  <c r="D300" i="1" s="1"/>
  <c r="CJ50" i="1"/>
  <c r="CN50" i="1" s="1"/>
  <c r="D296" i="1" s="1"/>
  <c r="CJ54" i="1"/>
  <c r="CJ56" i="1"/>
  <c r="CN55" i="1" s="1"/>
  <c r="D301" i="1" s="1"/>
  <c r="CJ51" i="1"/>
  <c r="CN51" i="1" s="1"/>
  <c r="D297" i="1" s="1"/>
  <c r="CJ53" i="1"/>
  <c r="CN53" i="1" s="1"/>
  <c r="D299" i="1" s="1"/>
  <c r="CJ49" i="1"/>
  <c r="CN49" i="1" s="1"/>
  <c r="D295" i="1" s="1"/>
  <c r="CJ57" i="1"/>
  <c r="CJ52" i="1"/>
  <c r="CN52" i="1" s="1"/>
  <c r="D298" i="1" s="1"/>
  <c r="CJ58" i="1"/>
  <c r="CN56" i="1" s="1"/>
  <c r="D302" i="1" s="1"/>
  <c r="Z163" i="1"/>
  <c r="Y162" i="1"/>
  <c r="V139" i="1"/>
  <c r="W140" i="1" s="1"/>
  <c r="CE46" i="1"/>
  <c r="CF46" i="1" s="1"/>
  <c r="DZ27" i="1"/>
  <c r="Z164" i="1" l="1"/>
  <c r="Y163" i="1"/>
  <c r="V138" i="1"/>
  <c r="W139" i="1" s="1"/>
  <c r="CE45" i="1"/>
  <c r="CF45" i="1" s="1"/>
  <c r="DZ25" i="1"/>
  <c r="DX24" i="1"/>
  <c r="DX26" i="1" s="1"/>
  <c r="Z165" i="1" l="1"/>
  <c r="Y164" i="1"/>
  <c r="V137" i="1"/>
  <c r="W138" i="1" s="1"/>
  <c r="CE44" i="1"/>
  <c r="CF44" i="1" s="1"/>
  <c r="DZ23" i="1"/>
  <c r="V136" i="1"/>
  <c r="CE43" i="1"/>
  <c r="CF43" i="1" s="1"/>
  <c r="DZ21" i="1"/>
  <c r="Z166" i="1" l="1"/>
  <c r="Y165" i="1"/>
  <c r="W137" i="1"/>
  <c r="V135" i="1"/>
  <c r="W136" i="1" s="1"/>
  <c r="V134" i="1"/>
  <c r="V133" i="1"/>
  <c r="V132" i="1"/>
  <c r="V131" i="1"/>
  <c r="V130" i="1"/>
  <c r="V129" i="1"/>
  <c r="V128" i="1"/>
  <c r="W128" i="1" s="1"/>
  <c r="Q128" i="1" s="1"/>
  <c r="X128" i="1" s="1"/>
  <c r="CE42" i="1"/>
  <c r="CF42" i="1" s="1"/>
  <c r="DZ19" i="1"/>
  <c r="DX18" i="1"/>
  <c r="Z167" i="1" l="1"/>
  <c r="Y166" i="1"/>
  <c r="W129" i="1"/>
  <c r="Q129" i="1" s="1"/>
  <c r="X129" i="1" s="1"/>
  <c r="W133" i="1"/>
  <c r="W130" i="1"/>
  <c r="W134" i="1"/>
  <c r="W131" i="1"/>
  <c r="W135" i="1"/>
  <c r="W132" i="1"/>
  <c r="CE41" i="1"/>
  <c r="CF41" i="1" s="1"/>
  <c r="DZ17" i="1"/>
  <c r="CC41" i="1"/>
  <c r="DZ15" i="1"/>
  <c r="DZ13" i="1"/>
  <c r="DZ11" i="1"/>
  <c r="DZ9" i="1"/>
  <c r="DZ7" i="1"/>
  <c r="DZ5" i="1"/>
  <c r="DU3" i="1"/>
  <c r="DU4" i="1" s="1"/>
  <c r="CE40" i="1"/>
  <c r="CF40" i="1" s="1"/>
  <c r="CE39" i="1"/>
  <c r="CF39" i="1" s="1"/>
  <c r="CE38" i="1"/>
  <c r="CF38" i="1" s="1"/>
  <c r="CE37" i="1"/>
  <c r="CF37" i="1" s="1"/>
  <c r="CE36" i="1"/>
  <c r="CF36" i="1" s="1"/>
  <c r="CE35" i="1"/>
  <c r="CF35" i="1" s="1"/>
  <c r="DK17" i="1"/>
  <c r="DK19" i="1"/>
  <c r="DK15" i="1"/>
  <c r="DK13" i="1"/>
  <c r="DK11" i="1"/>
  <c r="DK9" i="1"/>
  <c r="DK7" i="1"/>
  <c r="DK5" i="1"/>
  <c r="DF3" i="1"/>
  <c r="DF4" i="1" s="1"/>
  <c r="BX42" i="1"/>
  <c r="BY42" i="1" s="1"/>
  <c r="BX41" i="1"/>
  <c r="BY41" i="1" s="1"/>
  <c r="BX40" i="1"/>
  <c r="BY40" i="1" s="1"/>
  <c r="BX39" i="1"/>
  <c r="BY39" i="1" s="1"/>
  <c r="BX38" i="1"/>
  <c r="BY38" i="1" s="1"/>
  <c r="BX37" i="1"/>
  <c r="BY37" i="1" s="1"/>
  <c r="BX36" i="1"/>
  <c r="BY36" i="1" s="1"/>
  <c r="BX35" i="1"/>
  <c r="BY35" i="1" s="1"/>
  <c r="BQ43" i="1"/>
  <c r="BR43" i="1" s="1"/>
  <c r="CV21" i="1"/>
  <c r="CV19" i="1"/>
  <c r="CV17" i="1"/>
  <c r="CV7" i="1"/>
  <c r="CV5" i="1"/>
  <c r="CV15" i="1"/>
  <c r="CV13" i="1"/>
  <c r="CV11" i="1"/>
  <c r="CV9" i="1"/>
  <c r="CQ3" i="1"/>
  <c r="CQ4" i="1" s="1"/>
  <c r="BQ42" i="1"/>
  <c r="BR42" i="1" s="1"/>
  <c r="BQ41" i="1"/>
  <c r="BR41" i="1" s="1"/>
  <c r="BQ40" i="1"/>
  <c r="BR40" i="1" s="1"/>
  <c r="BQ39" i="1"/>
  <c r="BR39" i="1" s="1"/>
  <c r="BQ38" i="1"/>
  <c r="BR38" i="1" s="1"/>
  <c r="BQ37" i="1"/>
  <c r="BR37" i="1" s="1"/>
  <c r="BQ36" i="1"/>
  <c r="BR36" i="1" s="1"/>
  <c r="BQ35" i="1"/>
  <c r="BR35" i="1" s="1"/>
  <c r="BJ42" i="1"/>
  <c r="BK42" i="1" s="1"/>
  <c r="CE15" i="1"/>
  <c r="CE13" i="1"/>
  <c r="CE7" i="1"/>
  <c r="CE5" i="1"/>
  <c r="CE19" i="1"/>
  <c r="CE17" i="1"/>
  <c r="CE11" i="1"/>
  <c r="CE9" i="1"/>
  <c r="BZ3" i="1"/>
  <c r="BZ4" i="1" s="1"/>
  <c r="BL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P7" i="1"/>
  <c r="BP17" i="1"/>
  <c r="BP11" i="1"/>
  <c r="BP9" i="1"/>
  <c r="BP5" i="1"/>
  <c r="BK3" i="1"/>
  <c r="BK4" i="1" s="1"/>
  <c r="BP15" i="1"/>
  <c r="BP13" i="1"/>
  <c r="BC41" i="1"/>
  <c r="BD41" i="1" s="1"/>
  <c r="BC40" i="1"/>
  <c r="BD40" i="1" s="1"/>
  <c r="BC39" i="1"/>
  <c r="BD39" i="1" s="1"/>
  <c r="BC38" i="1"/>
  <c r="BD38" i="1" s="1"/>
  <c r="BC37" i="1"/>
  <c r="BD37" i="1" s="1"/>
  <c r="BC36" i="1"/>
  <c r="BD36" i="1" s="1"/>
  <c r="BC35" i="1"/>
  <c r="BD35" i="1" s="1"/>
  <c r="CC42" i="1" l="1"/>
  <c r="CB41" i="1"/>
  <c r="Z168" i="1"/>
  <c r="Y167" i="1"/>
  <c r="BZ37" i="1"/>
  <c r="BZ41" i="1"/>
  <c r="BL38" i="1"/>
  <c r="CG39" i="1"/>
  <c r="CG46" i="1"/>
  <c r="CG45" i="1"/>
  <c r="BS43" i="1"/>
  <c r="BS40" i="1"/>
  <c r="BL36" i="1"/>
  <c r="BL40" i="1"/>
  <c r="BS36" i="1"/>
  <c r="BZ36" i="1"/>
  <c r="CG43" i="1"/>
  <c r="CG44" i="1"/>
  <c r="BL39" i="1"/>
  <c r="BL35" i="1"/>
  <c r="BS37" i="1"/>
  <c r="BS41" i="1"/>
  <c r="BE41" i="1"/>
  <c r="BE38" i="1"/>
  <c r="BE35" i="1"/>
  <c r="BE39" i="1"/>
  <c r="BE36" i="1"/>
  <c r="BE40" i="1"/>
  <c r="BE37" i="1"/>
  <c r="BL41" i="1"/>
  <c r="BL37" i="1"/>
  <c r="BS42" i="1"/>
  <c r="BS38" i="1"/>
  <c r="BZ39" i="1"/>
  <c r="BZ42" i="1"/>
  <c r="CG35" i="1"/>
  <c r="CG37" i="1"/>
  <c r="Q130" i="1"/>
  <c r="Q131" i="1" s="1"/>
  <c r="BZ38" i="1"/>
  <c r="BZ35" i="1"/>
  <c r="CG40" i="1"/>
  <c r="CG36" i="1"/>
  <c r="CG41" i="1"/>
  <c r="BS35" i="1"/>
  <c r="BS39" i="1"/>
  <c r="BZ40" i="1"/>
  <c r="CG38" i="1"/>
  <c r="CG42" i="1"/>
  <c r="CC55" i="1" s="1"/>
  <c r="CF54" i="1" s="1"/>
  <c r="F300" i="1" s="1"/>
  <c r="N98" i="1"/>
  <c r="N115" i="1"/>
  <c r="N116" i="1"/>
  <c r="N117" i="1"/>
  <c r="N114" i="1"/>
  <c r="N113" i="1"/>
  <c r="N112" i="1"/>
  <c r="N111" i="1"/>
  <c r="N110" i="1"/>
  <c r="N109" i="1"/>
  <c r="N108" i="1"/>
  <c r="N107" i="1"/>
  <c r="O107" i="1" s="1"/>
  <c r="I107" i="1" s="1"/>
  <c r="CC49" i="1" l="1"/>
  <c r="CF49" i="1" s="1"/>
  <c r="F295" i="1" s="1"/>
  <c r="CC51" i="1"/>
  <c r="CF51" i="1" s="1"/>
  <c r="F297" i="1" s="1"/>
  <c r="CC54" i="1"/>
  <c r="X130" i="1"/>
  <c r="O115" i="1"/>
  <c r="CC48" i="1"/>
  <c r="CF48" i="1" s="1"/>
  <c r="F294" i="1" s="1"/>
  <c r="CC60" i="1"/>
  <c r="CF57" i="1" s="1"/>
  <c r="CC53" i="1"/>
  <c r="CF53" i="1" s="1"/>
  <c r="F299" i="1" s="1"/>
  <c r="CC50" i="1"/>
  <c r="CF50" i="1" s="1"/>
  <c r="F296" i="1" s="1"/>
  <c r="CC56" i="1"/>
  <c r="CC59" i="1"/>
  <c r="CF56" i="1" s="1"/>
  <c r="F302" i="1" s="1"/>
  <c r="CC57" i="1"/>
  <c r="CF55" i="1" s="1"/>
  <c r="F301" i="1" s="1"/>
  <c r="CC58" i="1"/>
  <c r="CC52" i="1"/>
  <c r="CF52" i="1" s="1"/>
  <c r="F298" i="1" s="1"/>
  <c r="Z169" i="1"/>
  <c r="Y168" i="1"/>
  <c r="CC43" i="1"/>
  <c r="CB42" i="1"/>
  <c r="X131" i="1"/>
  <c r="Q132" i="1"/>
  <c r="X132" i="1" s="1"/>
  <c r="O116" i="1"/>
  <c r="O117" i="1"/>
  <c r="O110" i="1"/>
  <c r="P107" i="1"/>
  <c r="O108" i="1"/>
  <c r="I108" i="1" s="1"/>
  <c r="O112" i="1"/>
  <c r="O109" i="1"/>
  <c r="O113" i="1"/>
  <c r="O114" i="1"/>
  <c r="O111" i="1"/>
  <c r="BA19" i="1"/>
  <c r="Q133" i="1" l="1"/>
  <c r="Z170" i="1"/>
  <c r="Y169" i="1"/>
  <c r="CB43" i="1"/>
  <c r="CC44" i="1"/>
  <c r="CB44" i="1" s="1"/>
  <c r="CC45" i="1"/>
  <c r="CB45" i="1" s="1"/>
  <c r="I109" i="1"/>
  <c r="I110" i="1" s="1"/>
  <c r="I111" i="1" s="1"/>
  <c r="I112" i="1" s="1"/>
  <c r="I113" i="1" s="1"/>
  <c r="I114" i="1" s="1"/>
  <c r="I115" i="1" s="1"/>
  <c r="I116" i="1" s="1"/>
  <c r="I117" i="1" s="1"/>
  <c r="X133" i="1"/>
  <c r="Q134" i="1"/>
  <c r="P108" i="1"/>
  <c r="N97" i="1"/>
  <c r="N96" i="1"/>
  <c r="N95" i="1"/>
  <c r="N94" i="1"/>
  <c r="N93" i="1"/>
  <c r="N92" i="1"/>
  <c r="N91" i="1"/>
  <c r="N90" i="1"/>
  <c r="O90" i="1" s="1"/>
  <c r="BA15" i="1"/>
  <c r="AU40" i="1" s="1"/>
  <c r="AV40" i="1" s="1"/>
  <c r="AW40" i="1" s="1"/>
  <c r="BA5" i="1"/>
  <c r="AU35" i="1" s="1"/>
  <c r="AV35" i="1" s="1"/>
  <c r="AW35" i="1" s="1"/>
  <c r="AW18" i="1"/>
  <c r="AY18" i="1" s="1"/>
  <c r="AV3" i="1"/>
  <c r="AV4" i="1" s="1"/>
  <c r="AU42" i="1"/>
  <c r="AV42" i="1" s="1"/>
  <c r="AW42" i="1" s="1"/>
  <c r="BA17" i="1"/>
  <c r="AU41" i="1" s="1"/>
  <c r="AV41" i="1" s="1"/>
  <c r="AW41" i="1" s="1"/>
  <c r="BA13" i="1"/>
  <c r="AU39" i="1" s="1"/>
  <c r="AV39" i="1" s="1"/>
  <c r="AW39" i="1" s="1"/>
  <c r="BA11" i="1"/>
  <c r="AU38" i="1" s="1"/>
  <c r="AV38" i="1" s="1"/>
  <c r="AW38" i="1" s="1"/>
  <c r="BA9" i="1"/>
  <c r="AU37" i="1" s="1"/>
  <c r="AV37" i="1" s="1"/>
  <c r="AW37" i="1" s="1"/>
  <c r="BA7" i="1"/>
  <c r="AU36" i="1" s="1"/>
  <c r="AV36" i="1" s="1"/>
  <c r="AW36" i="1" s="1"/>
  <c r="Z171" i="1" l="1"/>
  <c r="Y170" i="1"/>
  <c r="AX36" i="1"/>
  <c r="AX40" i="1"/>
  <c r="AX39" i="1"/>
  <c r="AX35" i="1"/>
  <c r="AR35" i="1" s="1"/>
  <c r="AV48" i="1" s="1"/>
  <c r="E294" i="1" s="1"/>
  <c r="AX38" i="1"/>
  <c r="O91" i="1"/>
  <c r="O95" i="1"/>
  <c r="AX41" i="1"/>
  <c r="AX37" i="1"/>
  <c r="O97" i="1"/>
  <c r="O98" i="1"/>
  <c r="AX42" i="1"/>
  <c r="AR42" i="1" s="1"/>
  <c r="AV54" i="1" s="1"/>
  <c r="E300" i="1" s="1"/>
  <c r="X134" i="1"/>
  <c r="Q135" i="1"/>
  <c r="Q136" i="1" s="1"/>
  <c r="O92" i="1"/>
  <c r="O96" i="1"/>
  <c r="O93" i="1"/>
  <c r="O94" i="1"/>
  <c r="V84" i="1"/>
  <c r="W83" i="1"/>
  <c r="W82" i="1"/>
  <c r="W81" i="1"/>
  <c r="W80" i="1"/>
  <c r="W79" i="1"/>
  <c r="W78" i="1"/>
  <c r="W77" i="1"/>
  <c r="W76" i="1"/>
  <c r="W75" i="1"/>
  <c r="W74" i="1"/>
  <c r="W73" i="1"/>
  <c r="X73" i="1" s="1"/>
  <c r="N84" i="1"/>
  <c r="N74" i="1"/>
  <c r="N75" i="1"/>
  <c r="N76" i="1"/>
  <c r="N77" i="1"/>
  <c r="N78" i="1"/>
  <c r="N79" i="1"/>
  <c r="N80" i="1"/>
  <c r="N81" i="1"/>
  <c r="N82" i="1"/>
  <c r="N83" i="1"/>
  <c r="N73" i="1"/>
  <c r="O73" i="1" s="1"/>
  <c r="I73" i="1" s="1"/>
  <c r="P73" i="1" s="1"/>
  <c r="B85" i="1"/>
  <c r="B86" i="1" s="1"/>
  <c r="B87" i="1" s="1"/>
  <c r="AR41" i="1" l="1"/>
  <c r="AR40" i="1"/>
  <c r="AV53" i="1" s="1"/>
  <c r="E299" i="1" s="1"/>
  <c r="AR37" i="1"/>
  <c r="AV50" i="1" s="1"/>
  <c r="E296" i="1" s="1"/>
  <c r="AR38" i="1"/>
  <c r="AV51" i="1" s="1"/>
  <c r="E297" i="1" s="1"/>
  <c r="AR36" i="1"/>
  <c r="AV49" i="1" s="1"/>
  <c r="E295" i="1" s="1"/>
  <c r="W84" i="1"/>
  <c r="U84" i="1"/>
  <c r="AR39" i="1"/>
  <c r="AV52" i="1" s="1"/>
  <c r="E298" i="1" s="1"/>
  <c r="Z172" i="1"/>
  <c r="Y171" i="1"/>
  <c r="X136" i="1"/>
  <c r="Q137" i="1"/>
  <c r="O81" i="1"/>
  <c r="O77" i="1"/>
  <c r="O80" i="1"/>
  <c r="O76" i="1"/>
  <c r="X135" i="1"/>
  <c r="P109" i="1"/>
  <c r="X74" i="1"/>
  <c r="X78" i="1"/>
  <c r="X82" i="1"/>
  <c r="X80" i="1"/>
  <c r="X75" i="1"/>
  <c r="X79" i="1"/>
  <c r="X83" i="1"/>
  <c r="X76" i="1"/>
  <c r="X84" i="1"/>
  <c r="X77" i="1"/>
  <c r="X81" i="1"/>
  <c r="O83" i="1"/>
  <c r="O79" i="1"/>
  <c r="O75" i="1"/>
  <c r="O82" i="1"/>
  <c r="O78" i="1"/>
  <c r="O74" i="1"/>
  <c r="I74" i="1" s="1"/>
  <c r="P74" i="1" s="1"/>
  <c r="O84" i="1"/>
  <c r="AL23" i="1"/>
  <c r="AE45" i="1" s="1"/>
  <c r="AF45" i="1" s="1"/>
  <c r="AG45" i="1" s="1"/>
  <c r="AL19" i="1"/>
  <c r="AE43" i="1" s="1"/>
  <c r="AF43" i="1" s="1"/>
  <c r="AG43" i="1" s="1"/>
  <c r="AL21" i="1"/>
  <c r="AE44" i="1" s="1"/>
  <c r="AF44" i="1" s="1"/>
  <c r="AG44" i="1" s="1"/>
  <c r="AL25" i="1"/>
  <c r="AE46" i="1" s="1"/>
  <c r="AF46" i="1" s="1"/>
  <c r="AG46" i="1" s="1"/>
  <c r="AL15" i="1"/>
  <c r="AE41" i="1" s="1"/>
  <c r="AF41" i="1" s="1"/>
  <c r="AG41" i="1" s="1"/>
  <c r="AL13" i="1"/>
  <c r="AE40" i="1" s="1"/>
  <c r="AF40" i="1" s="1"/>
  <c r="AG40" i="1" s="1"/>
  <c r="AL11" i="1"/>
  <c r="AE39" i="1" s="1"/>
  <c r="AF39" i="1" s="1"/>
  <c r="AG39" i="1" s="1"/>
  <c r="AL5" i="1"/>
  <c r="AL17" i="1"/>
  <c r="AE42" i="1" s="1"/>
  <c r="AF42" i="1" s="1"/>
  <c r="AG42" i="1" s="1"/>
  <c r="AL9" i="1"/>
  <c r="AE38" i="1" s="1"/>
  <c r="AF38" i="1" s="1"/>
  <c r="AG38" i="1" s="1"/>
  <c r="AL7" i="1"/>
  <c r="AE37" i="1" s="1"/>
  <c r="AF37" i="1" s="1"/>
  <c r="AG37" i="1" s="1"/>
  <c r="AG3" i="1"/>
  <c r="AG4" i="1" s="1"/>
  <c r="AE36" i="1" l="1"/>
  <c r="AF36" i="1" s="1"/>
  <c r="AG36" i="1" s="1"/>
  <c r="AH36" i="1" s="1"/>
  <c r="AB36" i="1" s="1"/>
  <c r="Z173" i="1"/>
  <c r="Y172" i="1"/>
  <c r="X137" i="1"/>
  <c r="Q138" i="1"/>
  <c r="AH40" i="1"/>
  <c r="AH45" i="1"/>
  <c r="AH41" i="1"/>
  <c r="AH44" i="1"/>
  <c r="AH46" i="1"/>
  <c r="AH39" i="1"/>
  <c r="AH43" i="1"/>
  <c r="I75" i="1"/>
  <c r="P75" i="1" s="1"/>
  <c r="AH38" i="1"/>
  <c r="AH37" i="1"/>
  <c r="AH42" i="1"/>
  <c r="P110" i="1"/>
  <c r="W27" i="1"/>
  <c r="S47" i="1" s="1"/>
  <c r="T47" i="1" s="1"/>
  <c r="U47" i="1" s="1"/>
  <c r="R47" i="1"/>
  <c r="Q47" i="1" s="1"/>
  <c r="W25" i="1"/>
  <c r="S46" i="1" s="1"/>
  <c r="T46" i="1" s="1"/>
  <c r="U46" i="1" s="1"/>
  <c r="W23" i="1"/>
  <c r="S45" i="1" s="1"/>
  <c r="T45" i="1" s="1"/>
  <c r="U45" i="1" s="1"/>
  <c r="W21" i="1"/>
  <c r="S44" i="1" s="1"/>
  <c r="T44" i="1" s="1"/>
  <c r="U44" i="1" s="1"/>
  <c r="W19" i="1"/>
  <c r="S43" i="1" s="1"/>
  <c r="T43" i="1" s="1"/>
  <c r="U43" i="1" s="1"/>
  <c r="W17" i="1"/>
  <c r="S42" i="1" s="1"/>
  <c r="T42" i="1" s="1"/>
  <c r="U42" i="1" s="1"/>
  <c r="W15" i="1"/>
  <c r="S41" i="1" s="1"/>
  <c r="T41" i="1" s="1"/>
  <c r="U41" i="1" s="1"/>
  <c r="W13" i="1"/>
  <c r="S40" i="1" s="1"/>
  <c r="T40" i="1" s="1"/>
  <c r="U40" i="1" s="1"/>
  <c r="W11" i="1"/>
  <c r="S39" i="1" s="1"/>
  <c r="T39" i="1" s="1"/>
  <c r="U39" i="1" s="1"/>
  <c r="W9" i="1"/>
  <c r="S38" i="1" s="1"/>
  <c r="T38" i="1" s="1"/>
  <c r="U38" i="1" s="1"/>
  <c r="W7" i="1"/>
  <c r="S37" i="1" s="1"/>
  <c r="T37" i="1" s="1"/>
  <c r="U37" i="1" s="1"/>
  <c r="W5" i="1"/>
  <c r="S36" i="1" s="1"/>
  <c r="T36" i="1" s="1"/>
  <c r="U36" i="1" s="1"/>
  <c r="R3" i="1"/>
  <c r="R4" i="1" s="1"/>
  <c r="AB37" i="1" l="1"/>
  <c r="AB42" i="1"/>
  <c r="AB43" i="1"/>
  <c r="AB39" i="1"/>
  <c r="AB38" i="1"/>
  <c r="AB46" i="1"/>
  <c r="AB41" i="1"/>
  <c r="AB45" i="1"/>
  <c r="AB44" i="1"/>
  <c r="AB40" i="1"/>
  <c r="Z174" i="1"/>
  <c r="Y173" i="1"/>
  <c r="I76" i="1"/>
  <c r="P76" i="1" s="1"/>
  <c r="X138" i="1"/>
  <c r="Q139" i="1"/>
  <c r="V36" i="1"/>
  <c r="P36" i="1" s="1"/>
  <c r="O294" i="1" s="1"/>
  <c r="P111" i="1"/>
  <c r="V43" i="1"/>
  <c r="V39" i="1"/>
  <c r="V42" i="1"/>
  <c r="V38" i="1"/>
  <c r="V47" i="1"/>
  <c r="V45" i="1"/>
  <c r="V41" i="1"/>
  <c r="V37" i="1"/>
  <c r="V44" i="1"/>
  <c r="V40" i="1"/>
  <c r="V46" i="1"/>
  <c r="M21" i="1"/>
  <c r="N21" i="1" s="1"/>
  <c r="M20" i="1"/>
  <c r="N20" i="1" s="1"/>
  <c r="M19" i="1"/>
  <c r="N19" i="1" s="1"/>
  <c r="M18" i="1"/>
  <c r="N18" i="1" s="1"/>
  <c r="C19" i="1"/>
  <c r="D19" i="1" s="1"/>
  <c r="C20" i="1"/>
  <c r="D20" i="1" s="1"/>
  <c r="C18" i="1"/>
  <c r="D18" i="1" s="1"/>
  <c r="C3" i="1"/>
  <c r="C4" i="1" s="1"/>
  <c r="P45" i="1" l="1"/>
  <c r="O303" i="1" s="1"/>
  <c r="P39" i="1"/>
  <c r="O297" i="1" s="1"/>
  <c r="P40" i="1"/>
  <c r="O298" i="1" s="1"/>
  <c r="P37" i="1"/>
  <c r="O295" i="1" s="1"/>
  <c r="P38" i="1"/>
  <c r="O296" i="1" s="1"/>
  <c r="I77" i="1"/>
  <c r="I78" i="1" s="1"/>
  <c r="P46" i="1"/>
  <c r="O304" i="1" s="1"/>
  <c r="P41" i="1"/>
  <c r="O299" i="1" s="1"/>
  <c r="P42" i="1"/>
  <c r="O300" i="1" s="1"/>
  <c r="P44" i="1"/>
  <c r="O302" i="1" s="1"/>
  <c r="P47" i="1"/>
  <c r="O305" i="1" s="1"/>
  <c r="P43" i="1"/>
  <c r="O301" i="1" s="1"/>
  <c r="Z175" i="1"/>
  <c r="Y174" i="1"/>
  <c r="X139" i="1"/>
  <c r="Q140" i="1"/>
  <c r="X140" i="1" s="1"/>
  <c r="P112" i="1"/>
  <c r="O19" i="1"/>
  <c r="E18" i="1"/>
  <c r="G18" i="1" s="1"/>
  <c r="M294" i="1" s="1"/>
  <c r="O20" i="1"/>
  <c r="E19" i="1"/>
  <c r="O21" i="1"/>
  <c r="E20" i="1"/>
  <c r="G20" i="1" s="1"/>
  <c r="M296" i="1" s="1"/>
  <c r="O18" i="1"/>
  <c r="Q18" i="1" s="1"/>
  <c r="N294" i="1" s="1"/>
  <c r="P77" i="1" l="1"/>
  <c r="G19" i="1"/>
  <c r="M295" i="1" s="1"/>
  <c r="Q21" i="1"/>
  <c r="N297" i="1" s="1"/>
  <c r="Q19" i="1"/>
  <c r="N295" i="1" s="1"/>
  <c r="Q20" i="1"/>
  <c r="N296" i="1" s="1"/>
  <c r="Z176" i="1"/>
  <c r="Y175" i="1"/>
  <c r="P113" i="1"/>
  <c r="P78" i="1"/>
  <c r="I79" i="1"/>
  <c r="Z177" i="1" l="1"/>
  <c r="Y176" i="1"/>
  <c r="P114" i="1"/>
  <c r="P79" i="1"/>
  <c r="I80" i="1"/>
  <c r="Z178" i="1" l="1"/>
  <c r="Y177" i="1"/>
  <c r="P115" i="1"/>
  <c r="P80" i="1"/>
  <c r="I81" i="1"/>
  <c r="I82" i="1" s="1"/>
  <c r="Z179" i="1" l="1"/>
  <c r="Y178" i="1"/>
  <c r="P116" i="1"/>
  <c r="P117" i="1"/>
  <c r="P81" i="1"/>
  <c r="Z180" i="1" l="1"/>
  <c r="Y179" i="1"/>
  <c r="I83" i="1"/>
  <c r="P82" i="1"/>
  <c r="Z181" i="1" l="1"/>
  <c r="Y180" i="1"/>
  <c r="P83" i="1"/>
  <c r="I84" i="1"/>
  <c r="P84" i="1" s="1"/>
  <c r="Z182" i="1" l="1"/>
  <c r="Y181" i="1"/>
  <c r="R73" i="1"/>
  <c r="Y73" i="1" s="1"/>
  <c r="Z183" i="1" l="1"/>
  <c r="Y182" i="1"/>
  <c r="R74" i="1"/>
  <c r="Z184" i="1" l="1"/>
  <c r="Y183" i="1"/>
  <c r="R75" i="1"/>
  <c r="Y74" i="1"/>
  <c r="Z185" i="1" l="1"/>
  <c r="Y184" i="1"/>
  <c r="R76" i="1"/>
  <c r="Y75" i="1"/>
  <c r="Z186" i="1" l="1"/>
  <c r="Y185" i="1"/>
  <c r="R77" i="1"/>
  <c r="Y76" i="1"/>
  <c r="Z187" i="1" l="1"/>
  <c r="Y186" i="1"/>
  <c r="R78" i="1"/>
  <c r="Y77" i="1"/>
  <c r="Z188" i="1" l="1"/>
  <c r="Y187" i="1"/>
  <c r="Y78" i="1"/>
  <c r="R79" i="1"/>
  <c r="Z189" i="1" l="1"/>
  <c r="Y188" i="1"/>
  <c r="Y79" i="1"/>
  <c r="R80" i="1"/>
  <c r="Z190" i="1" l="1"/>
  <c r="Y189" i="1"/>
  <c r="R81" i="1"/>
  <c r="Y80" i="1"/>
  <c r="Y190" i="1" l="1"/>
  <c r="Z191" i="1"/>
  <c r="Y81" i="1"/>
  <c r="R82" i="1"/>
  <c r="Y191" i="1" l="1"/>
  <c r="Z192" i="1"/>
  <c r="R83" i="1"/>
  <c r="Y82" i="1"/>
  <c r="Z193" i="1" l="1"/>
  <c r="Y193" i="1" s="1"/>
  <c r="Y192" i="1"/>
  <c r="R84" i="1"/>
  <c r="Y84" i="1" s="1"/>
  <c r="Y83" i="1"/>
  <c r="I90" i="1" l="1"/>
  <c r="I91" i="1" s="1"/>
  <c r="P90" i="1" l="1"/>
  <c r="P91" i="1"/>
  <c r="I92" i="1"/>
  <c r="P92" i="1" l="1"/>
  <c r="I93" i="1"/>
  <c r="P93" i="1" l="1"/>
  <c r="I94" i="1"/>
  <c r="I95" i="1" l="1"/>
  <c r="P94" i="1"/>
  <c r="P95" i="1" l="1"/>
  <c r="I96" i="1"/>
  <c r="I97" i="1" l="1"/>
  <c r="I98" i="1" s="1"/>
  <c r="P98" i="1" s="1"/>
  <c r="P96" i="1"/>
  <c r="P97" i="1" l="1"/>
  <c r="AA73" i="1"/>
  <c r="AH73" i="1" s="1"/>
  <c r="AA74" i="1" l="1"/>
  <c r="AH74" i="1" l="1"/>
  <c r="AA75" i="1"/>
  <c r="AH75" i="1" l="1"/>
  <c r="AA76" i="1"/>
  <c r="AH76" i="1" l="1"/>
  <c r="AA77" i="1"/>
  <c r="AH77" i="1" l="1"/>
  <c r="AA78" i="1"/>
  <c r="AA79" i="1" l="1"/>
  <c r="AH78" i="1"/>
  <c r="AA80" i="1" l="1"/>
  <c r="AA81" i="1" s="1"/>
  <c r="AH79" i="1"/>
  <c r="AH81" i="1" l="1"/>
  <c r="AA82" i="1"/>
  <c r="AH80" i="1"/>
  <c r="AH82" i="1" l="1"/>
  <c r="AA83" i="1"/>
  <c r="AH83" i="1" s="1"/>
  <c r="AR73" i="1"/>
  <c r="AR74" i="1" l="1"/>
  <c r="AR75" i="1" l="1"/>
  <c r="AR76" i="1" l="1"/>
  <c r="AR78" i="1" l="1"/>
  <c r="AR77" i="1"/>
  <c r="BB80" i="1"/>
  <c r="C120" i="2"/>
  <c r="A351" i="2" l="1"/>
  <c r="B120" i="2"/>
  <c r="A120" i="2" s="1"/>
  <c r="C121" i="2"/>
  <c r="J120" i="2"/>
  <c r="A352" i="2" l="1"/>
  <c r="A353" i="2"/>
  <c r="A355" i="2"/>
  <c r="A354" i="2"/>
  <c r="A356" i="2"/>
  <c r="J121" i="2"/>
  <c r="B121" i="2"/>
  <c r="A121" i="2" s="1"/>
  <c r="C122" i="2"/>
  <c r="J122" i="2" l="1"/>
  <c r="B122" i="2"/>
  <c r="A122" i="2" s="1"/>
  <c r="C123" i="2"/>
  <c r="J123" i="2" l="1"/>
  <c r="B123" i="2"/>
  <c r="A123" i="2" s="1"/>
  <c r="C124" i="2"/>
  <c r="G70" i="2"/>
  <c r="I70" i="2" s="1"/>
  <c r="J124" i="2" l="1"/>
  <c r="B124" i="2"/>
  <c r="A124" i="2" s="1"/>
  <c r="C125" i="2"/>
  <c r="B125" i="2" s="1"/>
  <c r="A125" i="2" s="1"/>
  <c r="J125" i="2" l="1"/>
  <c r="C126" i="2"/>
  <c r="B126" i="2" s="1"/>
  <c r="A126" i="2" s="1"/>
  <c r="C127" i="2" l="1"/>
  <c r="J126" i="2"/>
  <c r="BI120" i="2"/>
  <c r="BI121" i="2"/>
  <c r="BG121" i="2"/>
  <c r="BF120" i="2"/>
  <c r="BG120" i="2"/>
  <c r="BF121" i="2"/>
  <c r="BE120" i="2"/>
  <c r="B127" i="2" l="1"/>
  <c r="A127" i="2" s="1"/>
  <c r="BH120" i="2"/>
  <c r="BJ120" i="2" s="1"/>
  <c r="BH121" i="2"/>
  <c r="BG122" i="2" l="1"/>
  <c r="BI122" i="2"/>
  <c r="BF122" i="2"/>
  <c r="BE121" i="2"/>
  <c r="BJ121" i="2" s="1"/>
  <c r="BH122" i="2"/>
  <c r="BE122" i="2" l="1"/>
  <c r="BJ122" i="2" s="1"/>
  <c r="BI123" i="2"/>
  <c r="BG123" i="2"/>
  <c r="BH123" i="2"/>
  <c r="BF123" i="2"/>
  <c r="BI124" i="2" l="1"/>
  <c r="BH124" i="2"/>
  <c r="BF124" i="2"/>
  <c r="BG124" i="2"/>
  <c r="BE123" i="2"/>
  <c r="BJ123" i="2" s="1"/>
  <c r="BH125" i="2" l="1"/>
  <c r="BG125" i="2"/>
  <c r="BE124" i="2"/>
  <c r="BJ124" i="2" s="1"/>
  <c r="BF125" i="2"/>
  <c r="BI125" i="2"/>
  <c r="BI126" i="2" l="1"/>
  <c r="BH126" i="2"/>
  <c r="BF126" i="2"/>
  <c r="BG126" i="2"/>
  <c r="BE125" i="2"/>
  <c r="BJ125" i="2" s="1"/>
  <c r="BI127" i="2" l="1"/>
  <c r="BE126" i="2"/>
  <c r="BJ126" i="2" s="1"/>
  <c r="BI128" i="2" l="1"/>
  <c r="BI129" i="2" l="1"/>
  <c r="BI130" i="2" l="1"/>
  <c r="BI131" i="2" l="1"/>
  <c r="BI133" i="2" l="1"/>
  <c r="BI132" i="2"/>
  <c r="AX127" i="2"/>
  <c r="AV127" i="2"/>
  <c r="AW127" i="2"/>
  <c r="AW128" i="2" s="1"/>
  <c r="AU127" i="2"/>
  <c r="AW129" i="2" l="1"/>
  <c r="BG128" i="2"/>
  <c r="BG127" i="2"/>
  <c r="BF127" i="2"/>
  <c r="AV128" i="2"/>
  <c r="BE127" i="2"/>
  <c r="AU128" i="2"/>
  <c r="AU129" i="2" s="1"/>
  <c r="AU130" i="2" s="1"/>
  <c r="AU131" i="2" s="1"/>
  <c r="AU132" i="2" s="1"/>
  <c r="AU133" i="2" s="1"/>
  <c r="AU134" i="2" s="1"/>
  <c r="BH127" i="2"/>
  <c r="AX128" i="2"/>
  <c r="BJ127" i="2" l="1"/>
  <c r="AU135" i="2"/>
  <c r="BE134" i="2"/>
  <c r="AX129" i="2"/>
  <c r="BH128" i="2"/>
  <c r="AV129" i="2"/>
  <c r="BF128" i="2"/>
  <c r="AW130" i="2"/>
  <c r="BG129" i="2"/>
  <c r="BE128" i="2"/>
  <c r="BJ128" i="2" l="1"/>
  <c r="AU136" i="2"/>
  <c r="BE136" i="2" s="1"/>
  <c r="BE135" i="2"/>
  <c r="AV130" i="2"/>
  <c r="BF129" i="2"/>
  <c r="AW131" i="2"/>
  <c r="BG130" i="2"/>
  <c r="AX130" i="2"/>
  <c r="BH129" i="2"/>
  <c r="BE129" i="2"/>
  <c r="BJ129" i="2" l="1"/>
  <c r="AW132" i="2"/>
  <c r="BG131" i="2"/>
  <c r="AX131" i="2"/>
  <c r="BH130" i="2"/>
  <c r="AV131" i="2"/>
  <c r="BF130" i="2"/>
  <c r="BE130" i="2"/>
  <c r="BJ130" i="2" l="1"/>
  <c r="AX132" i="2"/>
  <c r="BH131" i="2"/>
  <c r="AV132" i="2"/>
  <c r="BF131" i="2"/>
  <c r="AW133" i="2"/>
  <c r="BG132" i="2"/>
  <c r="BE131" i="2"/>
  <c r="BJ131" i="2" l="1"/>
  <c r="AV133" i="2"/>
  <c r="BF132" i="2"/>
  <c r="AW134" i="2"/>
  <c r="BG133" i="2"/>
  <c r="AX133" i="2"/>
  <c r="BH132" i="2"/>
  <c r="BE132" i="2"/>
  <c r="BJ132" i="2" s="1"/>
  <c r="AW135" i="2" l="1"/>
  <c r="BG134" i="2"/>
  <c r="AX134" i="2"/>
  <c r="BH133" i="2"/>
  <c r="AV134" i="2"/>
  <c r="BF133" i="2"/>
  <c r="BE133" i="2"/>
  <c r="AX135" i="2" l="1"/>
  <c r="BH134" i="2"/>
  <c r="AV135" i="2"/>
  <c r="BF134" i="2"/>
  <c r="AW136" i="2"/>
  <c r="BG136" i="2" s="1"/>
  <c r="BG135" i="2"/>
  <c r="BJ133" i="2"/>
  <c r="BJ134" i="2" l="1"/>
  <c r="AV136" i="2"/>
  <c r="BF136" i="2" s="1"/>
  <c r="BF135" i="2"/>
  <c r="BH135" i="2"/>
  <c r="AX136" i="2"/>
  <c r="BH136" i="2" s="1"/>
  <c r="BJ135" i="2" l="1"/>
  <c r="BJ136" i="2"/>
</calcChain>
</file>

<file path=xl/sharedStrings.xml><?xml version="1.0" encoding="utf-8"?>
<sst xmlns="http://schemas.openxmlformats.org/spreadsheetml/2006/main" count="2677" uniqueCount="318">
  <si>
    <t>Qgin</t>
  </si>
  <si>
    <t>ml/min</t>
  </si>
  <si>
    <t>time</t>
  </si>
  <si>
    <t>s</t>
  </si>
  <si>
    <t>vol</t>
  </si>
  <si>
    <t>ml</t>
  </si>
  <si>
    <t>min</t>
  </si>
  <si>
    <t>average</t>
  </si>
  <si>
    <t>Qgin meas</t>
  </si>
  <si>
    <t>Ql</t>
  </si>
  <si>
    <t xml:space="preserve">NH3 </t>
  </si>
  <si>
    <t>M</t>
  </si>
  <si>
    <t>time meas</t>
  </si>
  <si>
    <t>sec</t>
  </si>
  <si>
    <t>time vol</t>
  </si>
  <si>
    <t>Qgout</t>
  </si>
  <si>
    <t>Aliq m2</t>
  </si>
  <si>
    <t>Qliq m3/s</t>
  </si>
  <si>
    <t>Vliq m/s</t>
  </si>
  <si>
    <t>Vliq m/s (*10^2)</t>
  </si>
  <si>
    <t>Am (m2)</t>
  </si>
  <si>
    <t>Tg (K)</t>
  </si>
  <si>
    <t>JCO2</t>
  </si>
  <si>
    <t>*10^3molCO2/m2*s</t>
  </si>
  <si>
    <t xml:space="preserve">VOL </t>
  </si>
  <si>
    <t>time meas(min)</t>
  </si>
  <si>
    <t>real concentration</t>
  </si>
  <si>
    <t>mol/l</t>
  </si>
  <si>
    <t>mg/L</t>
  </si>
  <si>
    <t>PERSPEX BLOCK</t>
  </si>
  <si>
    <t>height</t>
  </si>
  <si>
    <t>m</t>
  </si>
  <si>
    <t>NH3+H2O+CO2-&gt;NH4HCO3</t>
  </si>
  <si>
    <t>width</t>
  </si>
  <si>
    <t>tot length</t>
  </si>
  <si>
    <t>solubility NH4HCO3=2.32molNH3/l=2.32molCO2/l</t>
  </si>
  <si>
    <t>straight length</t>
  </si>
  <si>
    <t>R semicircle</t>
  </si>
  <si>
    <t>solubility NH4HCO3</t>
  </si>
  <si>
    <t>(mol/l)</t>
  </si>
  <si>
    <t xml:space="preserve">volume parallelepiped </t>
  </si>
  <si>
    <t>m3</t>
  </si>
  <si>
    <t>volume circle</t>
  </si>
  <si>
    <t>membrane volume</t>
  </si>
  <si>
    <t>Priming volume</t>
  </si>
  <si>
    <t>Aliq</t>
  </si>
  <si>
    <t>m2</t>
  </si>
  <si>
    <t>top rectangular volume</t>
  </si>
  <si>
    <t>Surface area</t>
  </si>
  <si>
    <t>m3/min</t>
  </si>
  <si>
    <t>Resid time</t>
  </si>
  <si>
    <t>NH3 3M</t>
  </si>
  <si>
    <t>Solubility solution (molCO2/l)</t>
  </si>
  <si>
    <t>Ssol/S*</t>
  </si>
  <si>
    <t>flux (*10^3 molCO2/m2*s)</t>
  </si>
  <si>
    <t>time meas (min)</t>
  </si>
  <si>
    <t>Delta t</t>
  </si>
  <si>
    <t>NH3 0.6M</t>
  </si>
  <si>
    <t>1st</t>
  </si>
  <si>
    <t>2nd</t>
  </si>
  <si>
    <t>Qgin 60ml/min</t>
  </si>
  <si>
    <t>NH3 2.9M still liquid</t>
  </si>
  <si>
    <t>Real NH3 conc (mol/l)</t>
  </si>
  <si>
    <t>OUTER CRYSTALLISATION AT THE ENTRANCE</t>
  </si>
  <si>
    <t>from</t>
  </si>
  <si>
    <t>to</t>
  </si>
  <si>
    <t>FINO ALLE 8 DI MATTINA DEL GIORNO 10 DICEMBRE</t>
  </si>
  <si>
    <t>Dalle 15 di pomeriggio del giorno 7 dicembre</t>
  </si>
  <si>
    <t xml:space="preserve"> </t>
  </si>
  <si>
    <t>2.3M</t>
  </si>
  <si>
    <t>NH3 2.3M</t>
  </si>
  <si>
    <t>Accurel PP 300/1200</t>
  </si>
  <si>
    <t>solubility line</t>
  </si>
  <si>
    <t>x</t>
  </si>
  <si>
    <t>y</t>
  </si>
  <si>
    <t>Top glass broken</t>
  </si>
  <si>
    <t>-</t>
  </si>
  <si>
    <t>FAILED</t>
  </si>
  <si>
    <t>.</t>
  </si>
  <si>
    <t>h</t>
  </si>
  <si>
    <t>J/Jin</t>
  </si>
  <si>
    <t>time min</t>
  </si>
  <si>
    <t>time h</t>
  </si>
  <si>
    <t>AVERAGE INSTOGRAM</t>
  </si>
  <si>
    <t>AVER. INSTOGR.</t>
  </si>
  <si>
    <t>hours</t>
  </si>
  <si>
    <t>J/Jin @[NH3]</t>
  </si>
  <si>
    <t>2.3 1st</t>
  </si>
  <si>
    <t>2.3 2nd</t>
  </si>
  <si>
    <t>3 upside down</t>
  </si>
  <si>
    <t>NH3 0.06M</t>
  </si>
  <si>
    <t>NH3 0.006M</t>
  </si>
  <si>
    <t>[NH3]</t>
  </si>
  <si>
    <t>molCO2absorbed/L</t>
  </si>
  <si>
    <t>at t (min)</t>
  </si>
  <si>
    <t>at t (hours)</t>
  </si>
  <si>
    <t>shell side</t>
  </si>
  <si>
    <t>nucleation</t>
  </si>
  <si>
    <t>crystallisation</t>
  </si>
  <si>
    <t>growth</t>
  </si>
  <si>
    <t>harvesting</t>
  </si>
  <si>
    <t>S/S* @[NH3]</t>
  </si>
  <si>
    <t>time (min)</t>
  </si>
  <si>
    <t>JCO2 @ test No</t>
  </si>
  <si>
    <t>typical lumen blockage</t>
  </si>
  <si>
    <t>no lumen blockage</t>
  </si>
  <si>
    <t xml:space="preserve"> (min)</t>
  </si>
  <si>
    <t>cumulative molCO2 absorbed/L at [NH3]</t>
  </si>
  <si>
    <t>Recirc</t>
  </si>
  <si>
    <t>Normalized for priming volume</t>
  </si>
  <si>
    <t>cumulative molCO2 absorbed/L at [NH3]=3</t>
  </si>
  <si>
    <t>Single pass</t>
  </si>
  <si>
    <t>Recirc(100ml)</t>
  </si>
  <si>
    <t>L</t>
  </si>
  <si>
    <t>NORMALIZED FOR PRIMING VOLUME</t>
  </si>
  <si>
    <t>SINGLE PASS</t>
  </si>
  <si>
    <t>(priming vol)</t>
  </si>
  <si>
    <t>Recirculation</t>
  </si>
  <si>
    <t xml:space="preserve">Normalized for priming volume </t>
  </si>
  <si>
    <t>Problem signature:</t>
  </si>
  <si>
    <t xml:space="preserve">  Problem Event Name:</t>
  </si>
  <si>
    <t>BEX</t>
  </si>
  <si>
    <t xml:space="preserve">  Application Name:</t>
  </si>
  <si>
    <t>WINWORD.EXE</t>
  </si>
  <si>
    <t xml:space="preserve">  Application Version:</t>
  </si>
  <si>
    <t>14.0.7166.5000</t>
  </si>
  <si>
    <t xml:space="preserve">  Application Timestamp:</t>
  </si>
  <si>
    <t xml:space="preserve">  Fault Module Name:</t>
  </si>
  <si>
    <t>unknown</t>
  </si>
  <si>
    <t xml:space="preserve">  Fault Module Version:</t>
  </si>
  <si>
    <t>0.0.0.0</t>
  </si>
  <si>
    <t xml:space="preserve">  Fault Module Timestamp:</t>
  </si>
  <si>
    <t xml:space="preserve">  Exception Offset:</t>
  </si>
  <si>
    <t>d00067d3</t>
  </si>
  <si>
    <t xml:space="preserve">  Exception Code:</t>
  </si>
  <si>
    <t>c0000005</t>
  </si>
  <si>
    <t xml:space="preserve">  Exception Data:</t>
  </si>
  <si>
    <t xml:space="preserve">  OS Version:</t>
  </si>
  <si>
    <t>6.1.7601.2.1.0.256.4</t>
  </si>
  <si>
    <t xml:space="preserve">  Locale ID:</t>
  </si>
  <si>
    <t>Additional information about the problem:</t>
  </si>
  <si>
    <t xml:space="preserve">  LCID:</t>
  </si>
  <si>
    <t xml:space="preserve">  skulcid:</t>
  </si>
  <si>
    <t>Read our privacy statement online:</t>
  </si>
  <si>
    <t xml:space="preserve">  http://go.microsoft.com/fwlink/?linkid=104288&amp;clcid=0x0409</t>
  </si>
  <si>
    <t>If the online privacy statement is not available, please read our privacy statement offline:</t>
  </si>
  <si>
    <t xml:space="preserve">  C:\windows\system32\en-US\erofflps.txt</t>
  </si>
  <si>
    <t>3M</t>
  </si>
  <si>
    <t>Tgas</t>
  </si>
  <si>
    <t>Tamb</t>
  </si>
  <si>
    <t>Tliq</t>
  </si>
  <si>
    <t>°C</t>
  </si>
  <si>
    <t>K</t>
  </si>
  <si>
    <t>Pv=nRT</t>
  </si>
  <si>
    <t>n out=Pv/RT</t>
  </si>
  <si>
    <t>mol/min</t>
  </si>
  <si>
    <t>n in=Pv/RT</t>
  </si>
  <si>
    <t>JCO2 normalized</t>
  </si>
  <si>
    <t>Estimation</t>
  </si>
  <si>
    <t>(measured at 8pm, approximation at 9pm)</t>
  </si>
  <si>
    <t>SSC AT ENTRANCE</t>
  </si>
  <si>
    <t>Saturation line</t>
  </si>
  <si>
    <t>stdev.p</t>
  </si>
  <si>
    <t>STANDARD DEVIATION</t>
  </si>
  <si>
    <t>JCO2 NORMALIZED</t>
  </si>
  <si>
    <t>50h</t>
  </si>
  <si>
    <t>54h</t>
  </si>
  <si>
    <t>65h</t>
  </si>
  <si>
    <t>46h</t>
  </si>
  <si>
    <t>42h</t>
  </si>
  <si>
    <t xml:space="preserve">molCO2abs </t>
  </si>
  <si>
    <t>single pass</t>
  </si>
  <si>
    <t>Vol liq</t>
  </si>
  <si>
    <t>0.6M</t>
  </si>
  <si>
    <t>0.06M</t>
  </si>
  <si>
    <t>0.006M</t>
  </si>
  <si>
    <t>molCO2abs@2.3M,65h-&gt;</t>
  </si>
  <si>
    <t>g/mol</t>
  </si>
  <si>
    <t>CO2 molar mass</t>
  </si>
  <si>
    <t>tot molCO2 abs</t>
  </si>
  <si>
    <t>mol</t>
  </si>
  <si>
    <t>tot gCO2 abs</t>
  </si>
  <si>
    <t>g</t>
  </si>
  <si>
    <t>Solubility NH4HCO3</t>
  </si>
  <si>
    <t>mol/L</t>
  </si>
  <si>
    <t>T</t>
  </si>
  <si>
    <t>ESTIMATION</t>
  </si>
  <si>
    <t>mol CO2 abs</t>
  </si>
  <si>
    <t>mass CO2 absorbed (g)</t>
  </si>
  <si>
    <t>1min</t>
  </si>
  <si>
    <t>10min</t>
  </si>
  <si>
    <t>30min</t>
  </si>
  <si>
    <t>1h</t>
  </si>
  <si>
    <t>1.5h</t>
  </si>
  <si>
    <t>2h</t>
  </si>
  <si>
    <t>4h</t>
  </si>
  <si>
    <t>6h</t>
  </si>
  <si>
    <t>18h</t>
  </si>
  <si>
    <t>22h</t>
  </si>
  <si>
    <t>26h</t>
  </si>
  <si>
    <t>30h</t>
  </si>
  <si>
    <t>mass CO2 absorbed (g) at [NH3]</t>
  </si>
  <si>
    <t>S/S* at [NH3]</t>
  </si>
  <si>
    <t>O'Neil, M.J. (ed.). The Merck Index - An Encyclopedia of Chemicals, Drugs, and Biologicals. Whitehouse Station, NJ: Merck and Co., Inc., 2006., p. 84</t>
  </si>
  <si>
    <r>
      <t xml:space="preserve">In </t>
    </r>
    <r>
      <rPr>
        <sz val="11"/>
        <color rgb="FF006699"/>
        <rFont val="Calibri"/>
        <family val="2"/>
        <scheme val="minor"/>
      </rPr>
      <t>water</t>
    </r>
    <r>
      <rPr>
        <sz val="11"/>
        <color rgb="FF444444"/>
        <rFont val="Calibri"/>
        <family val="2"/>
        <scheme val="minor"/>
      </rPr>
      <t xml:space="preserve">: 14% at 10 deg C; 17.4% at 20 deg C; 21.3% at 30 deg C. Decomposed by hot </t>
    </r>
    <r>
      <rPr>
        <sz val="11"/>
        <color rgb="FF006699"/>
        <rFont val="Calibri"/>
        <family val="2"/>
        <scheme val="minor"/>
      </rPr>
      <t>water</t>
    </r>
    <r>
      <rPr>
        <sz val="11"/>
        <color rgb="FF444444"/>
        <rFont val="Calibri"/>
        <family val="2"/>
        <scheme val="minor"/>
      </rPr>
      <t>.</t>
    </r>
  </si>
  <si>
    <t>NH4HCO3 MM</t>
  </si>
  <si>
    <t>solubility at T C</t>
  </si>
  <si>
    <t>g/100mL</t>
  </si>
  <si>
    <t>LSC</t>
  </si>
  <si>
    <t>first</t>
  </si>
  <si>
    <t>second</t>
  </si>
  <si>
    <t>third</t>
  </si>
  <si>
    <t>Qgin ml/min</t>
  </si>
  <si>
    <t>st.dev.p</t>
  </si>
  <si>
    <r>
      <t>J/J</t>
    </r>
    <r>
      <rPr>
        <vertAlign val="subscript"/>
        <sz val="11"/>
        <color theme="1"/>
        <rFont val="Calibri"/>
        <family val="2"/>
        <scheme val="minor"/>
      </rPr>
      <t>0</t>
    </r>
  </si>
  <si>
    <t>J/J0 @</t>
  </si>
  <si>
    <t>Single Pass</t>
  </si>
  <si>
    <r>
      <t>Solubility solution (molCO2/l)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</si>
  <si>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1)normalized with priming volume</t>
  </si>
  <si>
    <t>mass CO2 absorbed (g) @</t>
  </si>
  <si>
    <t>JCO2/JCO2 initial</t>
  </si>
  <si>
    <t>st.dev.</t>
  </si>
  <si>
    <t>@</t>
  </si>
  <si>
    <t>st.dev</t>
  </si>
  <si>
    <t>[NH3] mol/l</t>
  </si>
  <si>
    <r>
      <t>Ssol/S* (*10</t>
    </r>
    <r>
      <rPr>
        <b/>
        <vertAlign val="superscript"/>
        <sz val="11"/>
        <color theme="1"/>
        <rFont val="Calibri"/>
        <family val="2"/>
        <scheme val="minor"/>
      </rPr>
      <t>-5</t>
    </r>
    <r>
      <rPr>
        <b/>
        <sz val="11"/>
        <color theme="1"/>
        <rFont val="Calibri"/>
        <family val="2"/>
        <scheme val="minor"/>
      </rPr>
      <t>)</t>
    </r>
  </si>
  <si>
    <t>normalized with priming volume</t>
  </si>
  <si>
    <r>
      <t>Ssol/S* (*10</t>
    </r>
    <r>
      <rPr>
        <vertAlign val="superscript"/>
        <sz val="11"/>
        <color rgb="FFFF0000"/>
        <rFont val="Calibri"/>
        <family val="2"/>
        <scheme val="minor"/>
      </rPr>
      <t>-5</t>
    </r>
    <r>
      <rPr>
        <sz val="11"/>
        <color rgb="FFFF0000"/>
        <rFont val="Calibri"/>
        <family val="2"/>
        <scheme val="minor"/>
      </rPr>
      <t>) @</t>
    </r>
  </si>
  <si>
    <r>
      <t>st.dev.(*10</t>
    </r>
    <r>
      <rPr>
        <b/>
        <vertAlign val="superscript"/>
        <sz val="11"/>
        <color theme="1"/>
        <rFont val="Calibri"/>
        <family val="2"/>
        <scheme val="minor"/>
      </rPr>
      <t>-5</t>
    </r>
    <r>
      <rPr>
        <b/>
        <sz val="11"/>
        <color theme="1"/>
        <rFont val="Calibri"/>
        <family val="2"/>
        <scheme val="minor"/>
      </rPr>
      <t>)</t>
    </r>
  </si>
  <si>
    <r>
      <t>Ssol/S* (*10</t>
    </r>
    <r>
      <rPr>
        <vertAlign val="superscript"/>
        <sz val="11"/>
        <color rgb="FFFF0000"/>
        <rFont val="Calibri"/>
        <family val="2"/>
        <scheme val="minor"/>
      </rPr>
      <t>-5</t>
    </r>
    <r>
      <rPr>
        <sz val="11"/>
        <color rgb="FFFF0000"/>
        <rFont val="Calibri"/>
        <family val="2"/>
        <scheme val="minor"/>
      </rPr>
      <t>)</t>
    </r>
  </si>
  <si>
    <t>A</t>
  </si>
  <si>
    <t>B</t>
  </si>
  <si>
    <t>SSC</t>
  </si>
  <si>
    <t>2.3M S.P.</t>
  </si>
  <si>
    <t>3M S.P.</t>
  </si>
  <si>
    <t>3M Rec.</t>
  </si>
  <si>
    <t>2.3M Rec.</t>
  </si>
  <si>
    <t>priming volume</t>
  </si>
  <si>
    <t>Solubility solution (molCO2/l) normalised with priming volume</t>
  </si>
  <si>
    <t>CO2 load in the liquid bulk</t>
  </si>
  <si>
    <t>S/S* *10-5</t>
  </si>
  <si>
    <t>recirc</t>
  </si>
  <si>
    <t>time hours</t>
  </si>
  <si>
    <t>Ssol/S* (*10-5) @</t>
  </si>
  <si>
    <t>CO2 absorbed in the liquid bulk of priming volume recirculation</t>
  </si>
  <si>
    <t>CO2 absorbed in the liquid bulk of priming volume single pass</t>
  </si>
  <si>
    <t>[NH3] (mol/L)</t>
  </si>
  <si>
    <t>L/h</t>
  </si>
  <si>
    <t>Mass CO2abs/L</t>
  </si>
  <si>
    <t>Volume used L</t>
  </si>
  <si>
    <t>CO2abs gr/L</t>
  </si>
  <si>
    <t>finish 0.6</t>
  </si>
  <si>
    <t>grCO2abs/L</t>
  </si>
  <si>
    <t>0M</t>
  </si>
  <si>
    <t>Average</t>
  </si>
  <si>
    <t>flux</t>
  </si>
  <si>
    <t>hour</t>
  </si>
  <si>
    <t>Jco2*10^3 molco2/m2/s</t>
  </si>
  <si>
    <t>STDV.P</t>
  </si>
  <si>
    <t>S/S*</t>
  </si>
  <si>
    <t>STDVP</t>
  </si>
  <si>
    <t>Mass CO2 abs</t>
  </si>
  <si>
    <t xml:space="preserve">grCO2abs/L </t>
  </si>
  <si>
    <t>rec</t>
  </si>
  <si>
    <t>sing pass</t>
  </si>
  <si>
    <t>Remember add line on dew point 20C</t>
  </si>
  <si>
    <t>gco2/mol</t>
  </si>
  <si>
    <t>solub 7.5 C</t>
  </si>
  <si>
    <t>Vol</t>
  </si>
  <si>
    <t>g/l</t>
  </si>
  <si>
    <t>solub 20C</t>
  </si>
  <si>
    <t>J/J0</t>
  </si>
  <si>
    <t>g/L CO2 absorbed (g) at [NH3]</t>
  </si>
  <si>
    <t>vol liq = 100ml</t>
  </si>
  <si>
    <t>g/l co2abs</t>
  </si>
  <si>
    <t>gCO2/mol</t>
  </si>
  <si>
    <t>solubility NH$HCO3 at 20C</t>
  </si>
  <si>
    <t>gCO2/L</t>
  </si>
  <si>
    <t>C/C* at</t>
  </si>
  <si>
    <t>g/lCO2abs</t>
  </si>
  <si>
    <t>considering tot bulk volume</t>
  </si>
  <si>
    <t>STDEVP</t>
  </si>
  <si>
    <t>3.3 rec</t>
  </si>
  <si>
    <t>SP</t>
  </si>
  <si>
    <t>REC</t>
  </si>
  <si>
    <t>VG</t>
  </si>
  <si>
    <t>m/s</t>
  </si>
  <si>
    <t>VG m/s</t>
  </si>
  <si>
    <t>Flux *10^3 molCO2/(m2 s)</t>
  </si>
  <si>
    <t>Qg</t>
  </si>
  <si>
    <t>Vg</t>
  </si>
  <si>
    <t>3.3M</t>
  </si>
  <si>
    <t>5C</t>
  </si>
  <si>
    <t>rec 5C</t>
  </si>
  <si>
    <t>Liquid T Celsius</t>
  </si>
  <si>
    <t>stdev</t>
  </si>
  <si>
    <t>NH4HCO3</t>
  </si>
  <si>
    <t>Mol/l</t>
  </si>
  <si>
    <t>g/Mol</t>
  </si>
  <si>
    <t>g/L</t>
  </si>
  <si>
    <t>RMM</t>
  </si>
  <si>
    <t>Mass</t>
  </si>
  <si>
    <t>MassCo2</t>
  </si>
  <si>
    <t>MolesCO2</t>
  </si>
  <si>
    <t>ave MolCO2/L</t>
  </si>
  <si>
    <t>mol/mol</t>
  </si>
  <si>
    <t>pH</t>
  </si>
  <si>
    <t>20C</t>
  </si>
  <si>
    <t>x10-3MolCO2/m2/s</t>
  </si>
  <si>
    <t>J</t>
  </si>
  <si>
    <t>gCO2abs</t>
  </si>
  <si>
    <t>gCO2/l</t>
  </si>
  <si>
    <t>molCO2/L</t>
  </si>
  <si>
    <t>mol.m2/s</t>
  </si>
  <si>
    <t>(From time series MCR 3.3MPTFE, k31-K54, A31-a54)</t>
  </si>
  <si>
    <t>(From time series MCR 3.3MPTFE, k147-K170, A147-A170)</t>
  </si>
  <si>
    <t>(From time series MCR 3.3MPTFE, k229-K242, A229-A242)</t>
  </si>
  <si>
    <t>STDEV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</si>
</sst>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"/>
    <numFmt numFmtId="166" formatCode="0.0"/>
    <numFmt numFmtId="167" formatCode="0.0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444444"/>
      <name val="Calibri"/>
      <family val="2"/>
      <scheme val="minor"/>
    </font>
    <font>
      <i/>
      <sz val="9.9"/>
      <color rgb="FF666666"/>
      <name val="Calibri"/>
      <family val="2"/>
      <scheme val="minor"/>
    </font>
    <font>
      <sz val="11"/>
      <color rgb="FF006699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633777886288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1" fillId="0" borderId="0"/>
    <xf numFmtId="0" fontId="13" fillId="0" borderId="0"/>
  </cellStyleXfs>
  <cellXfs count="105">
    <xf numFmtId="0" fontId="0" fillId="0" borderId="0" xfId="0"/>
    <xf numFmtId="0" fontId="2" fillId="0" borderId="0" xfId="0" applyFont="1"/>
    <xf numFmtId="0" fontId="2" fillId="0" borderId="1" xfId="0" applyFont="1" applyBorder="1"/>
    <xf numFmtId="0" fontId="0" fillId="0" borderId="1" xfId="0" applyBorder="1"/>
    <xf numFmtId="11" fontId="0" fillId="0" borderId="0" xfId="0" applyNumberFormat="1"/>
    <xf numFmtId="0" fontId="2" fillId="0" borderId="1" xfId="0" applyFont="1" applyBorder="1"/>
    <xf numFmtId="0" fontId="0" fillId="0" borderId="1" xfId="0" applyBorder="1"/>
    <xf numFmtId="0" fontId="0" fillId="0" borderId="1" xfId="0" applyFill="1" applyBorder="1"/>
    <xf numFmtId="2" fontId="0" fillId="0" borderId="1" xfId="0" applyNumberFormat="1" applyBorder="1"/>
    <xf numFmtId="164" fontId="0" fillId="0" borderId="1" xfId="0" applyNumberFormat="1" applyBorder="1"/>
    <xf numFmtId="165" fontId="0" fillId="0" borderId="0" xfId="0" applyNumberFormat="1"/>
    <xf numFmtId="2" fontId="0" fillId="0" borderId="0" xfId="0" applyNumberFormat="1"/>
    <xf numFmtId="0" fontId="4" fillId="0" borderId="1" xfId="0" applyFont="1" applyBorder="1"/>
    <xf numFmtId="164" fontId="3" fillId="0" borderId="1" xfId="0" applyNumberFormat="1" applyFont="1" applyBorder="1"/>
    <xf numFmtId="0" fontId="3" fillId="0" borderId="1" xfId="0" applyFont="1" applyBorder="1"/>
    <xf numFmtId="0" fontId="3" fillId="0" borderId="1" xfId="0" applyFont="1" applyFill="1" applyBorder="1"/>
    <xf numFmtId="1" fontId="0" fillId="0" borderId="1" xfId="0" applyNumberFormat="1" applyBorder="1"/>
    <xf numFmtId="15" fontId="0" fillId="0" borderId="0" xfId="0" applyNumberFormat="1"/>
    <xf numFmtId="16" fontId="0" fillId="0" borderId="0" xfId="0" applyNumberFormat="1"/>
    <xf numFmtId="0" fontId="4" fillId="0" borderId="0" xfId="0" applyFont="1"/>
    <xf numFmtId="0" fontId="0" fillId="0" borderId="1" xfId="0" applyFont="1" applyBorder="1"/>
    <xf numFmtId="0" fontId="0" fillId="0" borderId="2" xfId="0" applyFill="1" applyBorder="1"/>
    <xf numFmtId="0" fontId="0" fillId="0" borderId="2" xfId="0" applyFont="1" applyFill="1" applyBorder="1"/>
    <xf numFmtId="14" fontId="0" fillId="0" borderId="0" xfId="0" applyNumberFormat="1"/>
    <xf numFmtId="0" fontId="2" fillId="2" borderId="0" xfId="0" applyFont="1" applyFill="1"/>
    <xf numFmtId="0" fontId="0" fillId="2" borderId="0" xfId="0" applyFill="1"/>
    <xf numFmtId="0" fontId="0" fillId="0" borderId="0" xfId="0" applyFill="1"/>
    <xf numFmtId="0" fontId="0" fillId="0" borderId="3" xfId="0" applyBorder="1"/>
    <xf numFmtId="166" fontId="0" fillId="0" borderId="0" xfId="0" applyNumberFormat="1"/>
    <xf numFmtId="0" fontId="3" fillId="2" borderId="0" xfId="0" applyFont="1" applyFill="1"/>
    <xf numFmtId="0" fontId="5" fillId="0" borderId="0" xfId="0" applyFont="1" applyFill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2" borderId="0" xfId="0" applyFont="1" applyFill="1" applyBorder="1"/>
    <xf numFmtId="0" fontId="0" fillId="0" borderId="10" xfId="0" applyBorder="1"/>
    <xf numFmtId="0" fontId="0" fillId="0" borderId="11" xfId="0" applyBorder="1"/>
    <xf numFmtId="0" fontId="2" fillId="0" borderId="10" xfId="0" applyFont="1" applyBorder="1"/>
    <xf numFmtId="0" fontId="0" fillId="0" borderId="12" xfId="0" applyBorder="1"/>
    <xf numFmtId="0" fontId="0" fillId="2" borderId="1" xfId="0" applyFill="1" applyBorder="1"/>
    <xf numFmtId="0" fontId="0" fillId="4" borderId="1" xfId="0" applyFill="1" applyBorder="1"/>
    <xf numFmtId="0" fontId="0" fillId="5" borderId="1" xfId="0" applyFill="1" applyBorder="1"/>
    <xf numFmtId="0" fontId="2" fillId="0" borderId="13" xfId="0" applyFont="1" applyFill="1" applyBorder="1"/>
    <xf numFmtId="164" fontId="0" fillId="5" borderId="1" xfId="0" applyNumberFormat="1" applyFill="1" applyBorder="1"/>
    <xf numFmtId="164" fontId="0" fillId="3" borderId="1" xfId="0" applyNumberFormat="1" applyFill="1" applyBorder="1"/>
    <xf numFmtId="0" fontId="0" fillId="6" borderId="1" xfId="0" applyFill="1" applyBorder="1"/>
    <xf numFmtId="0" fontId="0" fillId="7" borderId="1" xfId="0" applyFill="1" applyBorder="1"/>
    <xf numFmtId="0" fontId="0" fillId="7" borderId="10" xfId="0" applyFill="1" applyBorder="1"/>
    <xf numFmtId="0" fontId="0" fillId="8" borderId="1" xfId="0" applyFill="1" applyBorder="1"/>
    <xf numFmtId="0" fontId="0" fillId="0" borderId="3" xfId="0" applyFill="1" applyBorder="1"/>
    <xf numFmtId="2" fontId="0" fillId="0" borderId="3" xfId="0" applyNumberFormat="1" applyBorder="1"/>
    <xf numFmtId="164" fontId="0" fillId="0" borderId="3" xfId="0" applyNumberFormat="1" applyBorder="1"/>
    <xf numFmtId="0" fontId="6" fillId="0" borderId="0" xfId="1"/>
    <xf numFmtId="2" fontId="0" fillId="2" borderId="0" xfId="0" applyNumberFormat="1" applyFill="1"/>
    <xf numFmtId="0" fontId="0" fillId="0" borderId="0" xfId="0" applyFill="1" applyBorder="1"/>
    <xf numFmtId="0" fontId="2" fillId="0" borderId="1" xfId="0" applyFont="1" applyFill="1" applyBorder="1"/>
    <xf numFmtId="0" fontId="8" fillId="0" borderId="0" xfId="0" applyFont="1"/>
    <xf numFmtId="0" fontId="7" fillId="0" borderId="0" xfId="0" applyFont="1"/>
    <xf numFmtId="0" fontId="0" fillId="9" borderId="1" xfId="0" applyFill="1" applyBorder="1"/>
    <xf numFmtId="0" fontId="0" fillId="3" borderId="1" xfId="0" applyFill="1" applyBorder="1"/>
    <xf numFmtId="11" fontId="3" fillId="0" borderId="0" xfId="0" applyNumberFormat="1" applyFont="1"/>
    <xf numFmtId="1" fontId="0" fillId="5" borderId="1" xfId="0" applyNumberFormat="1" applyFill="1" applyBorder="1"/>
    <xf numFmtId="166" fontId="0" fillId="0" borderId="1" xfId="0" applyNumberFormat="1" applyBorder="1"/>
    <xf numFmtId="11" fontId="0" fillId="0" borderId="1" xfId="0" applyNumberFormat="1" applyBorder="1"/>
    <xf numFmtId="167" fontId="0" fillId="2" borderId="1" xfId="0" applyNumberFormat="1" applyFill="1" applyBorder="1"/>
    <xf numFmtId="166" fontId="0" fillId="6" borderId="1" xfId="0" applyNumberFormat="1" applyFill="1" applyBorder="1"/>
    <xf numFmtId="0" fontId="3" fillId="2" borderId="1" xfId="0" applyFont="1" applyFill="1" applyBorder="1"/>
    <xf numFmtId="166" fontId="0" fillId="7" borderId="1" xfId="0" applyNumberFormat="1" applyFill="1" applyBorder="1"/>
    <xf numFmtId="11" fontId="0" fillId="7" borderId="1" xfId="0" applyNumberFormat="1" applyFill="1" applyBorder="1"/>
    <xf numFmtId="11" fontId="0" fillId="2" borderId="1" xfId="0" applyNumberFormat="1" applyFill="1" applyBorder="1"/>
    <xf numFmtId="0" fontId="2" fillId="8" borderId="0" xfId="0" applyFont="1" applyFill="1"/>
    <xf numFmtId="0" fontId="2" fillId="8" borderId="1" xfId="0" applyFont="1" applyFill="1" applyBorder="1"/>
    <xf numFmtId="166" fontId="2" fillId="3" borderId="1" xfId="0" applyNumberFormat="1" applyFont="1" applyFill="1" applyBorder="1"/>
    <xf numFmtId="0" fontId="2" fillId="3" borderId="1" xfId="0" applyFont="1" applyFill="1" applyBorder="1"/>
    <xf numFmtId="164" fontId="0" fillId="0" borderId="0" xfId="0" applyNumberFormat="1"/>
    <xf numFmtId="165" fontId="0" fillId="0" borderId="1" xfId="0" applyNumberFormat="1" applyBorder="1"/>
    <xf numFmtId="0" fontId="2" fillId="2" borderId="1" xfId="0" applyFont="1" applyFill="1" applyBorder="1"/>
    <xf numFmtId="0" fontId="2" fillId="6" borderId="0" xfId="0" applyFont="1" applyFill="1"/>
    <xf numFmtId="0" fontId="2" fillId="6" borderId="1" xfId="0" applyFont="1" applyFill="1" applyBorder="1" applyAlignment="1">
      <alignment horizontal="center"/>
    </xf>
    <xf numFmtId="0" fontId="4" fillId="0" borderId="2" xfId="0" applyFont="1" applyBorder="1"/>
    <xf numFmtId="0" fontId="2" fillId="6" borderId="10" xfId="0" applyFont="1" applyFill="1" applyBorder="1"/>
    <xf numFmtId="0" fontId="2" fillId="6" borderId="11" xfId="0" applyFont="1" applyFill="1" applyBorder="1"/>
    <xf numFmtId="0" fontId="3" fillId="0" borderId="4" xfId="0" applyFont="1" applyBorder="1"/>
    <xf numFmtId="0" fontId="0" fillId="0" borderId="14" xfId="0" applyBorder="1"/>
    <xf numFmtId="0" fontId="0" fillId="0" borderId="15" xfId="0" applyBorder="1"/>
    <xf numFmtId="166" fontId="0" fillId="0" borderId="0" xfId="0" applyNumberFormat="1" applyBorder="1"/>
    <xf numFmtId="166" fontId="0" fillId="0" borderId="8" xfId="0" applyNumberFormat="1" applyBorder="1"/>
    <xf numFmtId="2" fontId="0" fillId="7" borderId="1" xfId="0" applyNumberFormat="1" applyFill="1" applyBorder="1"/>
    <xf numFmtId="166" fontId="0" fillId="0" borderId="0" xfId="0" applyNumberFormat="1" applyFill="1" applyBorder="1"/>
    <xf numFmtId="167" fontId="0" fillId="0" borderId="0" xfId="0" applyNumberFormat="1" applyFill="1" applyBorder="1"/>
    <xf numFmtId="0" fontId="3" fillId="0" borderId="0" xfId="0" applyFont="1" applyFill="1" applyBorder="1"/>
    <xf numFmtId="0" fontId="2" fillId="0" borderId="0" xfId="0" applyFont="1" applyFill="1" applyBorder="1"/>
    <xf numFmtId="2" fontId="0" fillId="0" borderId="0" xfId="0" applyNumberFormat="1" applyFill="1" applyBorder="1"/>
    <xf numFmtId="0" fontId="1" fillId="0" borderId="0" xfId="2"/>
    <xf numFmtId="0" fontId="0" fillId="7" borderId="2" xfId="0" applyFill="1" applyBorder="1"/>
    <xf numFmtId="0" fontId="1" fillId="0" borderId="0" xfId="2"/>
    <xf numFmtId="0" fontId="1" fillId="0" borderId="0" xfId="2" applyFill="1"/>
    <xf numFmtId="2" fontId="0" fillId="8" borderId="1" xfId="0" applyNumberFormat="1" applyFill="1" applyBorder="1"/>
    <xf numFmtId="0" fontId="14" fillId="0" borderId="0" xfId="0" applyFont="1"/>
    <xf numFmtId="1" fontId="0" fillId="7" borderId="1" xfId="0" applyNumberFormat="1" applyFill="1" applyBorder="1"/>
    <xf numFmtId="1" fontId="0" fillId="0" borderId="0" xfId="0" applyNumberFormat="1"/>
  </cellXfs>
  <cellStyles count="4">
    <cellStyle name="Hyperlink" xfId="1" builtinId="8"/>
    <cellStyle name="Normal" xfId="0" builtinId="0"/>
    <cellStyle name="Normal 2" xfId="3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colors>
    <mruColors>
      <color rgb="FF003366"/>
      <color rgb="FF006666"/>
      <color rgb="FF008080"/>
      <color rgb="FF339966"/>
      <color rgb="FF339933"/>
      <color rgb="FF006600"/>
      <color rgb="FF003300"/>
      <color rgb="FF008000"/>
      <color rgb="FF33CC33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4.xml"/><Relationship Id="rId12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theme" Target="theme/theme1.xml"/><Relationship Id="rId5" Type="http://schemas.openxmlformats.org/officeDocument/2006/relationships/worksheet" Target="worksheets/sheet2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6.xml"/><Relationship Id="rId14" Type="http://schemas.openxmlformats.org/officeDocument/2006/relationships/calcChain" Target="calcChain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37431719786625E-2"/>
          <c:y val="0.10702292050219693"/>
          <c:w val="0.81656166755546833"/>
          <c:h val="0.71952231368613961"/>
        </c:manualLayout>
      </c:layout>
      <c:scatterChart>
        <c:scatterStyle val="lineMarker"/>
        <c:varyColors val="0"/>
        <c:ser>
          <c:idx val="3"/>
          <c:order val="0"/>
          <c:tx>
            <c:v>3M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recirculation!$AJ$157:$AJ$163</c:f>
                <c:numCache>
                  <c:formatCode>General</c:formatCode>
                  <c:ptCount val="7"/>
                  <c:pt idx="0">
                    <c:v>8.3376425121214079E-4</c:v>
                  </c:pt>
                  <c:pt idx="1">
                    <c:v>1.5582328903521033E-3</c:v>
                  </c:pt>
                  <c:pt idx="2">
                    <c:v>3.1396471885887229E-3</c:v>
                  </c:pt>
                  <c:pt idx="3">
                    <c:v>4.0228692850596888E-2</c:v>
                  </c:pt>
                  <c:pt idx="4">
                    <c:v>4.2605909466062172E-2</c:v>
                  </c:pt>
                  <c:pt idx="5">
                    <c:v>4.3416495483808056E-2</c:v>
                  </c:pt>
                  <c:pt idx="6">
                    <c:v>4.8151758110069082E-2</c:v>
                  </c:pt>
                </c:numCache>
              </c:numRef>
            </c:plus>
            <c:minus>
              <c:numRef>
                <c:f>recirculation!$AJ$157:$AJ$163</c:f>
                <c:numCache>
                  <c:formatCode>General</c:formatCode>
                  <c:ptCount val="7"/>
                  <c:pt idx="0">
                    <c:v>8.3376425121214079E-4</c:v>
                  </c:pt>
                  <c:pt idx="1">
                    <c:v>1.5582328903521033E-3</c:v>
                  </c:pt>
                  <c:pt idx="2">
                    <c:v>3.1396471885887229E-3</c:v>
                  </c:pt>
                  <c:pt idx="3">
                    <c:v>4.0228692850596888E-2</c:v>
                  </c:pt>
                  <c:pt idx="4">
                    <c:v>4.2605909466062172E-2</c:v>
                  </c:pt>
                  <c:pt idx="5">
                    <c:v>4.3416495483808056E-2</c:v>
                  </c:pt>
                  <c:pt idx="6">
                    <c:v>4.8151758110069082E-2</c:v>
                  </c:pt>
                </c:numCache>
              </c:numRef>
            </c:minus>
          </c:errBars>
          <c:xVal>
            <c:numRef>
              <c:f>recirculation!$AL$157:$AL$163</c:f>
              <c:numCache>
                <c:formatCode>General</c:formatCode>
                <c:ptCount val="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</c:numCache>
            </c:numRef>
          </c:xVal>
          <c:yVal>
            <c:numRef>
              <c:f>recirculation!$AK$157:$AK$163</c:f>
              <c:numCache>
                <c:formatCode>General</c:formatCode>
                <c:ptCount val="7"/>
                <c:pt idx="0">
                  <c:v>1.5578634668177938E-2</c:v>
                </c:pt>
                <c:pt idx="1">
                  <c:v>0.14123394423742103</c:v>
                </c:pt>
                <c:pt idx="2">
                  <c:v>0.36117737703538844</c:v>
                </c:pt>
                <c:pt idx="3">
                  <c:v>0.52865782719062504</c:v>
                </c:pt>
                <c:pt idx="4">
                  <c:v>0.70092688050909513</c:v>
                </c:pt>
                <c:pt idx="5">
                  <c:v>0.83106240349035865</c:v>
                </c:pt>
                <c:pt idx="6">
                  <c:v>1.2263501488868584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3B-43A6-949D-B8572577A5C4}"/>
            </c:ext>
          </c:extLst>
        </c:ser>
        <c:ser>
          <c:idx val="4"/>
          <c:order val="1"/>
          <c:tx>
            <c:v>2.3M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recirculation!$AJ$168:$AJ$184</c:f>
                <c:numCache>
                  <c:formatCode>General</c:formatCode>
                  <c:ptCount val="17"/>
                  <c:pt idx="0">
                    <c:v>2.9745214851105808E-4</c:v>
                  </c:pt>
                  <c:pt idx="1">
                    <c:v>8.6914738334000245E-4</c:v>
                  </c:pt>
                  <c:pt idx="2">
                    <c:v>2.8472010931750178E-3</c:v>
                  </c:pt>
                  <c:pt idx="3">
                    <c:v>2.932460762254402E-3</c:v>
                  </c:pt>
                  <c:pt idx="4">
                    <c:v>4.4009243462697365E-3</c:v>
                  </c:pt>
                  <c:pt idx="5">
                    <c:v>1.7377627610808966E-2</c:v>
                  </c:pt>
                  <c:pt idx="6">
                    <c:v>6.3186425593283926E-2</c:v>
                  </c:pt>
                  <c:pt idx="7">
                    <c:v>5.2421643595939711E-2</c:v>
                  </c:pt>
                  <c:pt idx="8">
                    <c:v>0.12038540174100482</c:v>
                  </c:pt>
                  <c:pt idx="9">
                    <c:v>9.6164135962181124E-2</c:v>
                  </c:pt>
                  <c:pt idx="10">
                    <c:v>8.8294872787917561E-2</c:v>
                  </c:pt>
                  <c:pt idx="11">
                    <c:v>8.6825824509769403E-2</c:v>
                  </c:pt>
                  <c:pt idx="12">
                    <c:v>0.11467187712499931</c:v>
                  </c:pt>
                  <c:pt idx="13">
                    <c:v>0.11634031011275681</c:v>
                  </c:pt>
                  <c:pt idx="14">
                    <c:v>9.3567488779429123E-2</c:v>
                  </c:pt>
                  <c:pt idx="15">
                    <c:v>0.11419492876976899</c:v>
                  </c:pt>
                  <c:pt idx="16">
                    <c:v>0.13821421734248529</c:v>
                  </c:pt>
                </c:numCache>
              </c:numRef>
            </c:plus>
            <c:minus>
              <c:numRef>
                <c:f>recirculation!$AJ$168:$AJ$184</c:f>
                <c:numCache>
                  <c:formatCode>General</c:formatCode>
                  <c:ptCount val="17"/>
                  <c:pt idx="0">
                    <c:v>2.9745214851105808E-4</c:v>
                  </c:pt>
                  <c:pt idx="1">
                    <c:v>8.6914738334000245E-4</c:v>
                  </c:pt>
                  <c:pt idx="2">
                    <c:v>2.8472010931750178E-3</c:v>
                  </c:pt>
                  <c:pt idx="3">
                    <c:v>2.932460762254402E-3</c:v>
                  </c:pt>
                  <c:pt idx="4">
                    <c:v>4.4009243462697365E-3</c:v>
                  </c:pt>
                  <c:pt idx="5">
                    <c:v>1.7377627610808966E-2</c:v>
                  </c:pt>
                  <c:pt idx="6">
                    <c:v>6.3186425593283926E-2</c:v>
                  </c:pt>
                  <c:pt idx="7">
                    <c:v>5.2421643595939711E-2</c:v>
                  </c:pt>
                  <c:pt idx="8">
                    <c:v>0.12038540174100482</c:v>
                  </c:pt>
                  <c:pt idx="9">
                    <c:v>9.6164135962181124E-2</c:v>
                  </c:pt>
                  <c:pt idx="10">
                    <c:v>8.8294872787917561E-2</c:v>
                  </c:pt>
                  <c:pt idx="11">
                    <c:v>8.6825824509769403E-2</c:v>
                  </c:pt>
                  <c:pt idx="12">
                    <c:v>0.11467187712499931</c:v>
                  </c:pt>
                  <c:pt idx="13">
                    <c:v>0.11634031011275681</c:v>
                  </c:pt>
                  <c:pt idx="14">
                    <c:v>9.3567488779429123E-2</c:v>
                  </c:pt>
                  <c:pt idx="15">
                    <c:v>0.11419492876976899</c:v>
                  </c:pt>
                  <c:pt idx="16">
                    <c:v>0.13821421734248529</c:v>
                  </c:pt>
                </c:numCache>
              </c:numRef>
            </c:minus>
          </c:errBars>
          <c:xVal>
            <c:numRef>
              <c:f>recirculation!$AL$168:$AL$184</c:f>
              <c:numCache>
                <c:formatCode>General</c:formatCode>
                <c:ptCount val="1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  <c:pt idx="10">
                  <c:v>26</c:v>
                </c:pt>
                <c:pt idx="11">
                  <c:v>30</c:v>
                </c:pt>
                <c:pt idx="12">
                  <c:v>42</c:v>
                </c:pt>
                <c:pt idx="13">
                  <c:v>46</c:v>
                </c:pt>
                <c:pt idx="14">
                  <c:v>50</c:v>
                </c:pt>
                <c:pt idx="15">
                  <c:v>54</c:v>
                </c:pt>
                <c:pt idx="16">
                  <c:v>65</c:v>
                </c:pt>
              </c:numCache>
            </c:numRef>
          </c:xVal>
          <c:yVal>
            <c:numRef>
              <c:f>recirculation!$AK$168:$AK$184</c:f>
              <c:numCache>
                <c:formatCode>General</c:formatCode>
                <c:ptCount val="17"/>
                <c:pt idx="0">
                  <c:v>1.0576276849571489E-2</c:v>
                </c:pt>
                <c:pt idx="1">
                  <c:v>0.1028892521699275</c:v>
                </c:pt>
                <c:pt idx="2">
                  <c:v>0.26572410294569393</c:v>
                </c:pt>
                <c:pt idx="3">
                  <c:v>0.43750029608260343</c:v>
                </c:pt>
                <c:pt idx="4">
                  <c:v>0.56942345012694007</c:v>
                </c:pt>
                <c:pt idx="5">
                  <c:v>0.67631706366367594</c:v>
                </c:pt>
                <c:pt idx="6">
                  <c:v>0.85846559640117359</c:v>
                </c:pt>
                <c:pt idx="7">
                  <c:v>1.0576220384804405</c:v>
                </c:pt>
                <c:pt idx="8">
                  <c:v>1.6539748394703337</c:v>
                </c:pt>
                <c:pt idx="9">
                  <c:v>1.7613866809841383</c:v>
                </c:pt>
                <c:pt idx="10">
                  <c:v>1.8839628356649274</c:v>
                </c:pt>
                <c:pt idx="11">
                  <c:v>2.0436233929821244</c:v>
                </c:pt>
                <c:pt idx="12">
                  <c:v>2.3710405419596463</c:v>
                </c:pt>
                <c:pt idx="13">
                  <c:v>2.4650316705398887</c:v>
                </c:pt>
                <c:pt idx="14">
                  <c:v>2.5235115391895073</c:v>
                </c:pt>
                <c:pt idx="15">
                  <c:v>2.5450206044608512</c:v>
                </c:pt>
                <c:pt idx="16">
                  <c:v>2.6200850318785709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3B-43A6-949D-B8572577A5C4}"/>
            </c:ext>
          </c:extLst>
        </c:ser>
        <c:ser>
          <c:idx val="5"/>
          <c:order val="2"/>
          <c:tx>
            <c:v>0.6M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recirculation!$AJ$190:$AJ$200</c:f>
                <c:numCache>
                  <c:formatCode>General</c:formatCode>
                  <c:ptCount val="11"/>
                  <c:pt idx="0">
                    <c:v>2.4503953744421642E-4</c:v>
                  </c:pt>
                  <c:pt idx="1">
                    <c:v>1.0848408060203892E-3</c:v>
                  </c:pt>
                  <c:pt idx="2">
                    <c:v>3.61207371535056E-3</c:v>
                  </c:pt>
                  <c:pt idx="3">
                    <c:v>7.8871794298844382E-3</c:v>
                  </c:pt>
                  <c:pt idx="4">
                    <c:v>1.2841621164546129E-2</c:v>
                  </c:pt>
                  <c:pt idx="5">
                    <c:v>1.3099885522918672E-2</c:v>
                  </c:pt>
                  <c:pt idx="6">
                    <c:v>2.6513929755402833E-2</c:v>
                  </c:pt>
                  <c:pt idx="7">
                    <c:v>3.7286891625278186E-2</c:v>
                  </c:pt>
                  <c:pt idx="8">
                    <c:v>7.5814821795737203E-2</c:v>
                  </c:pt>
                  <c:pt idx="9">
                    <c:v>8.5079817060823987E-2</c:v>
                  </c:pt>
                  <c:pt idx="10">
                    <c:v>9.6649978315451537E-2</c:v>
                  </c:pt>
                </c:numCache>
              </c:numRef>
            </c:plus>
            <c:minus>
              <c:numRef>
                <c:f>recirculation!$AJ$190:$AJ$200</c:f>
                <c:numCache>
                  <c:formatCode>General</c:formatCode>
                  <c:ptCount val="11"/>
                  <c:pt idx="0">
                    <c:v>2.4503953744421642E-4</c:v>
                  </c:pt>
                  <c:pt idx="1">
                    <c:v>1.0848408060203892E-3</c:v>
                  </c:pt>
                  <c:pt idx="2">
                    <c:v>3.61207371535056E-3</c:v>
                  </c:pt>
                  <c:pt idx="3">
                    <c:v>7.8871794298844382E-3</c:v>
                  </c:pt>
                  <c:pt idx="4">
                    <c:v>1.2841621164546129E-2</c:v>
                  </c:pt>
                  <c:pt idx="5">
                    <c:v>1.3099885522918672E-2</c:v>
                  </c:pt>
                  <c:pt idx="6">
                    <c:v>2.6513929755402833E-2</c:v>
                  </c:pt>
                  <c:pt idx="7">
                    <c:v>3.7286891625278186E-2</c:v>
                  </c:pt>
                  <c:pt idx="8">
                    <c:v>7.5814821795737203E-2</c:v>
                  </c:pt>
                  <c:pt idx="9">
                    <c:v>8.5079817060823987E-2</c:v>
                  </c:pt>
                  <c:pt idx="10">
                    <c:v>9.6649978315451537E-2</c:v>
                  </c:pt>
                </c:numCache>
              </c:numRef>
            </c:minus>
          </c:errBars>
          <c:xVal>
            <c:numRef>
              <c:f>recirculation!$AL$190:$AL$199</c:f>
              <c:numCache>
                <c:formatCode>General</c:formatCode>
                <c:ptCount val="10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</c:numCache>
            </c:numRef>
          </c:xVal>
          <c:yVal>
            <c:numRef>
              <c:f>recirculation!$AK$190:$AK$200</c:f>
              <c:numCache>
                <c:formatCode>General</c:formatCode>
                <c:ptCount val="11"/>
                <c:pt idx="0">
                  <c:v>2.7080464181006955E-3</c:v>
                </c:pt>
                <c:pt idx="1">
                  <c:v>2.6874372590711394E-2</c:v>
                </c:pt>
                <c:pt idx="2">
                  <c:v>6.8704347047841327E-2</c:v>
                </c:pt>
                <c:pt idx="3">
                  <c:v>0.11716275132309903</c:v>
                </c:pt>
                <c:pt idx="4">
                  <c:v>0.15578955054282079</c:v>
                </c:pt>
                <c:pt idx="5">
                  <c:v>0.18473775696565983</c:v>
                </c:pt>
                <c:pt idx="6">
                  <c:v>0.28103962144456834</c:v>
                </c:pt>
                <c:pt idx="7">
                  <c:v>0.33571964275564786</c:v>
                </c:pt>
                <c:pt idx="8">
                  <c:v>0.60693183455471877</c:v>
                </c:pt>
                <c:pt idx="9">
                  <c:v>0.61855978932596334</c:v>
                </c:pt>
                <c:pt idx="10">
                  <c:v>0.6269276182065604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3B-43A6-949D-B8572577A5C4}"/>
            </c:ext>
          </c:extLst>
        </c:ser>
        <c:ser>
          <c:idx val="6"/>
          <c:order val="3"/>
          <c:spPr>
            <a:ln w="12700">
              <a:solidFill>
                <a:srgbClr val="FF0000"/>
              </a:solidFill>
              <a:prstDash val="dashDot"/>
            </a:ln>
          </c:spPr>
          <c:marker>
            <c:symbol val="none"/>
          </c:marker>
          <c:xVal>
            <c:numRef>
              <c:f>recirculation!$O$240:$O$241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xVal>
          <c:yVal>
            <c:numRef>
              <c:f>recirculation!$P$240:$P$241</c:f>
              <c:numCache>
                <c:formatCode>General</c:formatCode>
                <c:ptCount val="2"/>
                <c:pt idx="0">
                  <c:v>1.226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3B-43A6-949D-B8572577A5C4}"/>
            </c:ext>
          </c:extLst>
        </c:ser>
        <c:ser>
          <c:idx val="7"/>
          <c:order val="4"/>
          <c:spPr>
            <a:ln w="12700">
              <a:solidFill>
                <a:srgbClr val="FF0000"/>
              </a:solidFill>
              <a:prstDash val="dashDot"/>
            </a:ln>
          </c:spPr>
          <c:marker>
            <c:symbol val="none"/>
          </c:marker>
          <c:xVal>
            <c:numRef>
              <c:f>recirculation!$O$239:$O$240</c:f>
              <c:numCache>
                <c:formatCode>General</c:formatCode>
                <c:ptCount val="2"/>
                <c:pt idx="0">
                  <c:v>100</c:v>
                </c:pt>
                <c:pt idx="1">
                  <c:v>4</c:v>
                </c:pt>
              </c:numCache>
            </c:numRef>
          </c:xVal>
          <c:yVal>
            <c:numRef>
              <c:f>recirculation!$P$239:$P$240</c:f>
              <c:numCache>
                <c:formatCode>General</c:formatCode>
                <c:ptCount val="2"/>
                <c:pt idx="0">
                  <c:v>1.226</c:v>
                </c:pt>
                <c:pt idx="1">
                  <c:v>1.226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3B-43A6-949D-B8572577A5C4}"/>
            </c:ext>
          </c:extLst>
        </c:ser>
        <c:ser>
          <c:idx val="8"/>
          <c:order val="5"/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recirculation!$M$243:$M$244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recirculation!$L$243:$L$244</c:f>
              <c:numCache>
                <c:formatCode>General</c:formatCode>
                <c:ptCount val="2"/>
                <c:pt idx="0">
                  <c:v>2.3199999999999998</c:v>
                </c:pt>
                <c:pt idx="1">
                  <c:v>2.3199999999999998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3B-43A6-949D-B8572577A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72928"/>
        <c:axId val="111375104"/>
      </c:scatterChart>
      <c:valAx>
        <c:axId val="111372928"/>
        <c:scaling>
          <c:logBase val="10"/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900" b="0"/>
                </a:pPr>
                <a:r>
                  <a:rPr lang="en-GB" sz="900" b="0"/>
                  <a:t>Time</a:t>
                </a:r>
                <a:r>
                  <a:rPr lang="en-GB" sz="900" b="0" baseline="0"/>
                  <a:t> since absorbent recirulation commenced (hours)</a:t>
                </a:r>
                <a:endParaRPr lang="en-GB" sz="900" b="0"/>
              </a:p>
            </c:rich>
          </c:tx>
          <c:layout>
            <c:manualLayout>
              <c:xMode val="edge"/>
              <c:yMode val="edge"/>
              <c:x val="0.35559753511412168"/>
              <c:y val="0.88018827725990678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lang="en-GB" sz="900"/>
            </a:pPr>
            <a:endParaRPr lang="en-US"/>
          </a:p>
        </c:txPr>
        <c:crossAx val="111375104"/>
        <c:crossesAt val="1.0000000000000002E-2"/>
        <c:crossBetween val="midCat"/>
        <c:majorUnit val="10"/>
        <c:minorUnit val="1"/>
      </c:valAx>
      <c:valAx>
        <c:axId val="111375104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900"/>
                </a:pPr>
                <a:r>
                  <a:rPr lang="en-GB" sz="900" b="0" i="0" baseline="0">
                    <a:effectLst/>
                  </a:rPr>
                  <a:t>Cumulative CO</a:t>
                </a:r>
                <a:r>
                  <a:rPr lang="en-GB" sz="900" b="0" i="0" baseline="-25000">
                    <a:effectLst/>
                  </a:rPr>
                  <a:t>2</a:t>
                </a:r>
                <a:r>
                  <a:rPr lang="en-GB" sz="900" b="0" i="0" baseline="0">
                    <a:effectLst/>
                  </a:rPr>
                  <a:t> absorbed (Mol CO</a:t>
                </a:r>
                <a:r>
                  <a:rPr lang="en-GB" sz="900" b="0" i="0" baseline="-25000">
                    <a:effectLst/>
                  </a:rPr>
                  <a:t>2</a:t>
                </a:r>
                <a:r>
                  <a:rPr lang="en-GB" sz="900" b="0" i="0" baseline="0">
                    <a:effectLst/>
                  </a:rPr>
                  <a:t> L</a:t>
                </a:r>
                <a:r>
                  <a:rPr lang="en-GB" sz="900" b="0" i="0" baseline="30000">
                    <a:effectLst/>
                  </a:rPr>
                  <a:t>-1</a:t>
                </a:r>
                <a:r>
                  <a:rPr lang="en-GB" sz="900" b="0" i="0" baseline="0">
                    <a:effectLst/>
                  </a:rPr>
                  <a:t>)</a:t>
                </a:r>
                <a:endParaRPr lang="en-GB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2.5275885060245713E-2"/>
              <c:y val="0.29765963116903332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lang="en-GB"/>
            </a:pPr>
            <a:endParaRPr lang="en-US"/>
          </a:p>
        </c:txPr>
        <c:crossAx val="111372928"/>
        <c:crossesAt val="0"/>
        <c:crossBetween val="midCat"/>
        <c:majorUnit val="1"/>
        <c:minorUnit val="1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6499382573375638E-2"/>
          <c:y val="0.5617823531856313"/>
          <c:w val="8.4007446293912005E-2"/>
          <c:h val="0.21195626720422908"/>
        </c:manualLayout>
      </c:layout>
      <c:overlay val="0"/>
      <c:txPr>
        <a:bodyPr/>
        <a:lstStyle/>
        <a:p>
          <a:pPr>
            <a:defRPr lang="en-GB" sz="900"/>
          </a:pPr>
          <a:endParaRPr lang="en-US"/>
        </a:p>
      </c:txPr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[CO2 (t)]/2.32</a:t>
            </a:r>
            <a:r>
              <a:rPr lang="en-US" sz="1000" baseline="0"/>
              <a:t> =M/M; Ql=4.55ml/min; Qg=60ml/min; vol liq=100ml; NH3  2.3M</a:t>
            </a:r>
            <a:endParaRPr lang="en-US" sz="100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Saturation line</c:v>
          </c:tx>
          <c:spPr>
            <a:ln w="28575">
              <a:noFill/>
            </a:ln>
          </c:spPr>
          <c:marker>
            <c:symbol val="square"/>
            <c:size val="2"/>
          </c:marker>
          <c:xVal>
            <c:numRef>
              <c:f>Sheet1!$Z$153:$Z$188</c:f>
              <c:numCache>
                <c:formatCode>General</c:formatCode>
                <c:ptCount val="36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</c:numCache>
            </c:numRef>
          </c:xVal>
          <c:yVal>
            <c:numRef>
              <c:f>Sheet1!$AA$153:$AA$188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E-4FB5-B627-2BB106E77F18}"/>
            </c:ext>
          </c:extLst>
        </c:ser>
        <c:ser>
          <c:idx val="4"/>
          <c:order val="1"/>
          <c:tx>
            <c:v>Zeus PTFE 27/1/2016</c:v>
          </c:tx>
          <c:spPr>
            <a:ln w="28575">
              <a:noFill/>
            </a:ln>
          </c:spPr>
          <c:xVal>
            <c:numRef>
              <c:f>Sheet1!$AE$73:$AE$83</c:f>
              <c:numCache>
                <c:formatCode>General</c:formatCode>
                <c:ptCount val="11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200</c:v>
                </c:pt>
                <c:pt idx="7">
                  <c:v>1150</c:v>
                </c:pt>
                <c:pt idx="8">
                  <c:v>1440</c:v>
                </c:pt>
                <c:pt idx="9">
                  <c:v>2860</c:v>
                </c:pt>
                <c:pt idx="10">
                  <c:v>3050</c:v>
                </c:pt>
              </c:numCache>
            </c:numRef>
          </c:xVal>
          <c:yVal>
            <c:numRef>
              <c:f>Sheet1!$AH$73:$AH$83</c:f>
              <c:numCache>
                <c:formatCode>General</c:formatCode>
                <c:ptCount val="11"/>
                <c:pt idx="0">
                  <c:v>3.7432126033237864E-3</c:v>
                </c:pt>
                <c:pt idx="1">
                  <c:v>3.5159493296278453E-2</c:v>
                </c:pt>
                <c:pt idx="2">
                  <c:v>6.6400437318732575E-2</c:v>
                </c:pt>
                <c:pt idx="3">
                  <c:v>0.11766667091542354</c:v>
                </c:pt>
                <c:pt idx="4">
                  <c:v>0.17340628401434188</c:v>
                </c:pt>
                <c:pt idx="5">
                  <c:v>0.21650781607432085</c:v>
                </c:pt>
                <c:pt idx="6">
                  <c:v>0.30638276362098815</c:v>
                </c:pt>
                <c:pt idx="7">
                  <c:v>0.78153501954997451</c:v>
                </c:pt>
                <c:pt idx="8">
                  <c:v>0.91189476734107189</c:v>
                </c:pt>
                <c:pt idx="9">
                  <c:v>1.1327514243710228</c:v>
                </c:pt>
                <c:pt idx="10">
                  <c:v>1.1646611436168961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8E-4FB5-B627-2BB106E77F18}"/>
            </c:ext>
          </c:extLst>
        </c:ser>
        <c:ser>
          <c:idx val="2"/>
          <c:order val="2"/>
          <c:tx>
            <c:v>Zeus PTFE 8/2/2016</c:v>
          </c:tx>
          <c:spPr>
            <a:ln w="28575">
              <a:noFill/>
            </a:ln>
          </c:spPr>
          <c:xVal>
            <c:numRef>
              <c:f>Sheet1!$AY$73:$AY$81</c:f>
              <c:numCache>
                <c:formatCode>General</c:formatCode>
                <c:ptCount val="9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60</c:v>
                </c:pt>
                <c:pt idx="5">
                  <c:v>90</c:v>
                </c:pt>
                <c:pt idx="6">
                  <c:v>120</c:v>
                </c:pt>
                <c:pt idx="7">
                  <c:v>360</c:v>
                </c:pt>
                <c:pt idx="8">
                  <c:v>600</c:v>
                </c:pt>
              </c:numCache>
            </c:numRef>
          </c:xVal>
          <c:yVal>
            <c:numRef>
              <c:f>Sheet1!$BB$73:$BB$81</c:f>
              <c:numCache>
                <c:formatCode>General</c:formatCode>
                <c:ptCount val="9"/>
                <c:pt idx="0">
                  <c:v>3.5309571158114593E-3</c:v>
                </c:pt>
                <c:pt idx="1">
                  <c:v>3.49507315003336E-2</c:v>
                </c:pt>
                <c:pt idx="2">
                  <c:v>6.6577764500317119E-2</c:v>
                </c:pt>
                <c:pt idx="3">
                  <c:v>0.11881544860155697</c:v>
                </c:pt>
                <c:pt idx="4">
                  <c:v>0.1599764556783119</c:v>
                </c:pt>
                <c:pt idx="5">
                  <c:v>0.21038178516049466</c:v>
                </c:pt>
                <c:pt idx="6">
                  <c:v>0.2498308137875957</c:v>
                </c:pt>
                <c:pt idx="7">
                  <c:v>0.39429277370134491</c:v>
                </c:pt>
                <c:pt idx="8">
                  <c:v>0.50405397358209447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8E-4FB5-B627-2BB106E77F18}"/>
            </c:ext>
          </c:extLst>
        </c:ser>
        <c:ser>
          <c:idx val="0"/>
          <c:order val="3"/>
          <c:tx>
            <c:v>Zeus PTFE 9/2/2016</c:v>
          </c:tx>
          <c:spPr>
            <a:ln w="28575">
              <a:noFill/>
            </a:ln>
          </c:spPr>
          <c:xVal>
            <c:numRef>
              <c:f>Sheet1!$BI$73:$BI$87</c:f>
              <c:numCache>
                <c:formatCode>General</c:formatCode>
                <c:ptCount val="15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60</c:v>
                </c:pt>
                <c:pt idx="5">
                  <c:v>90</c:v>
                </c:pt>
                <c:pt idx="6">
                  <c:v>780</c:v>
                </c:pt>
                <c:pt idx="7">
                  <c:v>1020</c:v>
                </c:pt>
                <c:pt idx="8">
                  <c:v>1260</c:v>
                </c:pt>
                <c:pt idx="9">
                  <c:v>1500</c:v>
                </c:pt>
                <c:pt idx="10">
                  <c:v>2220</c:v>
                </c:pt>
                <c:pt idx="11" formatCode="0">
                  <c:v>2460</c:v>
                </c:pt>
                <c:pt idx="12">
                  <c:v>2700</c:v>
                </c:pt>
                <c:pt idx="13">
                  <c:v>2940</c:v>
                </c:pt>
                <c:pt idx="14">
                  <c:v>3600</c:v>
                </c:pt>
              </c:numCache>
            </c:numRef>
          </c:xVal>
          <c:yVal>
            <c:numRef>
              <c:f>Sheet1!$BL$73:$BL$87</c:f>
              <c:numCache>
                <c:formatCode>General</c:formatCode>
                <c:ptCount val="15"/>
                <c:pt idx="0">
                  <c:v>3.6815641325928196E-3</c:v>
                </c:pt>
                <c:pt idx="1">
                  <c:v>3.5039827056359406E-2</c:v>
                </c:pt>
                <c:pt idx="2">
                  <c:v>6.6413736153452141E-2</c:v>
                </c:pt>
                <c:pt idx="3">
                  <c:v>0.11600601362217448</c:v>
                </c:pt>
                <c:pt idx="4">
                  <c:v>0.15997087343536545</c:v>
                </c:pt>
                <c:pt idx="5">
                  <c:v>0.21116713427448019</c:v>
                </c:pt>
                <c:pt idx="6">
                  <c:v>0.52978072761168804</c:v>
                </c:pt>
                <c:pt idx="7">
                  <c:v>0.60693429851224812</c:v>
                </c:pt>
                <c:pt idx="8">
                  <c:v>0.68586577189880482</c:v>
                </c:pt>
                <c:pt idx="9">
                  <c:v>0.75506878921287734</c:v>
                </c:pt>
                <c:pt idx="10">
                  <c:v>0.9651186244065928</c:v>
                </c:pt>
                <c:pt idx="11">
                  <c:v>1.0277938487499176</c:v>
                </c:pt>
                <c:pt idx="12">
                  <c:v>1.0740001155247478</c:v>
                </c:pt>
                <c:pt idx="13">
                  <c:v>1.123517390626154</c:v>
                </c:pt>
                <c:pt idx="14">
                  <c:v>1.146483875971172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8E-4FB5-B627-2BB106E7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94368"/>
        <c:axId val="114000640"/>
      </c:scatterChart>
      <c:valAx>
        <c:axId val="113994368"/>
        <c:scaling>
          <c:orientation val="minMax"/>
          <c:max val="3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US" sz="1500"/>
                  <a:t>time measurement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4000640"/>
        <c:crosses val="autoZero"/>
        <c:crossBetween val="midCat"/>
      </c:valAx>
      <c:valAx>
        <c:axId val="114000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Ssol/S*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99436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2"/>
          <c:order val="0"/>
          <c:tx>
            <c:v>NH3 3M</c:v>
          </c:tx>
          <c:spPr>
            <a:ln w="28575">
              <a:noFill/>
            </a:ln>
          </c:spPr>
          <c:xVal>
            <c:numRef>
              <c:f>Sheet1!$T$128:$T$140</c:f>
              <c:numCache>
                <c:formatCode>General</c:formatCode>
                <c:ptCount val="13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4.666666666666667</c:v>
                </c:pt>
                <c:pt idx="7">
                  <c:v>18.666666666666668</c:v>
                </c:pt>
                <c:pt idx="8">
                  <c:v>23.666666666666668</c:v>
                </c:pt>
                <c:pt idx="9">
                  <c:v>25.666666666666668</c:v>
                </c:pt>
                <c:pt idx="10">
                  <c:v>40.916666666666664</c:v>
                </c:pt>
                <c:pt idx="11">
                  <c:v>49.416666666666664</c:v>
                </c:pt>
                <c:pt idx="12">
                  <c:v>65</c:v>
                </c:pt>
              </c:numCache>
            </c:numRef>
          </c:xVal>
          <c:yVal>
            <c:numRef>
              <c:f>Sheet1!$X$128:$X$140</c:f>
              <c:numCache>
                <c:formatCode>General</c:formatCode>
                <c:ptCount val="13"/>
                <c:pt idx="0">
                  <c:v>6.0101896578983885E-3</c:v>
                </c:pt>
                <c:pt idx="1">
                  <c:v>5.6474041829963073E-2</c:v>
                </c:pt>
                <c:pt idx="2">
                  <c:v>0.10552204106060549</c:v>
                </c:pt>
                <c:pt idx="3">
                  <c:v>0.18105176236612505</c:v>
                </c:pt>
                <c:pt idx="4">
                  <c:v>0.26119837931378959</c:v>
                </c:pt>
                <c:pt idx="5">
                  <c:v>0.32090282881607129</c:v>
                </c:pt>
                <c:pt idx="6">
                  <c:v>0.5244704647206927</c:v>
                </c:pt>
                <c:pt idx="7">
                  <c:v>1.0852104859375484</c:v>
                </c:pt>
                <c:pt idx="8">
                  <c:v>1.2213846438219806</c:v>
                </c:pt>
                <c:pt idx="9">
                  <c:v>1.2729919820536786</c:v>
                </c:pt>
                <c:pt idx="10">
                  <c:v>1.6482330908170504</c:v>
                </c:pt>
                <c:pt idx="11">
                  <c:v>1.8048470324507906</c:v>
                </c:pt>
                <c:pt idx="12">
                  <c:v>1.9096355453818252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31-48EA-94F1-A1383AC36B67}"/>
            </c:ext>
          </c:extLst>
        </c:ser>
        <c:ser>
          <c:idx val="4"/>
          <c:order val="1"/>
          <c:tx>
            <c:v>NH3 2.3M 1st</c:v>
          </c:tx>
          <c:spPr>
            <a:ln w="28575">
              <a:noFill/>
            </a:ln>
          </c:spPr>
          <c:xVal>
            <c:numRef>
              <c:f>Sheet1!$AD$73:$AD$83</c:f>
              <c:numCache>
                <c:formatCode>General</c:formatCode>
                <c:ptCount val="11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3.3333333333333335</c:v>
                </c:pt>
                <c:pt idx="7">
                  <c:v>19.166666666666668</c:v>
                </c:pt>
                <c:pt idx="8">
                  <c:v>24</c:v>
                </c:pt>
                <c:pt idx="9">
                  <c:v>47.666666666666664</c:v>
                </c:pt>
                <c:pt idx="10">
                  <c:v>50.833333333333336</c:v>
                </c:pt>
              </c:numCache>
            </c:numRef>
          </c:xVal>
          <c:yVal>
            <c:numRef>
              <c:f>Sheet1!$AH$73:$AH$83</c:f>
              <c:numCache>
                <c:formatCode>General</c:formatCode>
                <c:ptCount val="11"/>
                <c:pt idx="0">
                  <c:v>3.7432126033237864E-3</c:v>
                </c:pt>
                <c:pt idx="1">
                  <c:v>3.5159493296278453E-2</c:v>
                </c:pt>
                <c:pt idx="2">
                  <c:v>6.6400437318732575E-2</c:v>
                </c:pt>
                <c:pt idx="3">
                  <c:v>0.11766667091542354</c:v>
                </c:pt>
                <c:pt idx="4">
                  <c:v>0.17340628401434188</c:v>
                </c:pt>
                <c:pt idx="5">
                  <c:v>0.21650781607432085</c:v>
                </c:pt>
                <c:pt idx="6">
                  <c:v>0.30638276362098815</c:v>
                </c:pt>
                <c:pt idx="7">
                  <c:v>0.78153501954997451</c:v>
                </c:pt>
                <c:pt idx="8">
                  <c:v>0.91189476734107189</c:v>
                </c:pt>
                <c:pt idx="9">
                  <c:v>1.1327514243710228</c:v>
                </c:pt>
                <c:pt idx="10">
                  <c:v>1.1646611436168961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31-48EA-94F1-A1383AC36B67}"/>
            </c:ext>
          </c:extLst>
        </c:ser>
        <c:ser>
          <c:idx val="3"/>
          <c:order val="2"/>
          <c:tx>
            <c:v>NH3 2.3M 2nd</c:v>
          </c:tx>
          <c:spPr>
            <a:ln w="28575">
              <a:noFill/>
            </a:ln>
          </c:spPr>
          <c:xVal>
            <c:numRef>
              <c:f>Sheet1!$BH$73:$BH$87</c:f>
              <c:numCache>
                <c:formatCode>General</c:formatCode>
                <c:ptCount val="15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13</c:v>
                </c:pt>
                <c:pt idx="7">
                  <c:v>17</c:v>
                </c:pt>
                <c:pt idx="8">
                  <c:v>21</c:v>
                </c:pt>
                <c:pt idx="9">
                  <c:v>25</c:v>
                </c:pt>
                <c:pt idx="10">
                  <c:v>37</c:v>
                </c:pt>
                <c:pt idx="11">
                  <c:v>41</c:v>
                </c:pt>
                <c:pt idx="12">
                  <c:v>45</c:v>
                </c:pt>
                <c:pt idx="13">
                  <c:v>49</c:v>
                </c:pt>
                <c:pt idx="14">
                  <c:v>60</c:v>
                </c:pt>
              </c:numCache>
            </c:numRef>
          </c:xVal>
          <c:yVal>
            <c:numRef>
              <c:f>Sheet1!$BL$73:$BL$87</c:f>
              <c:numCache>
                <c:formatCode>General</c:formatCode>
                <c:ptCount val="15"/>
                <c:pt idx="0">
                  <c:v>3.6815641325928196E-3</c:v>
                </c:pt>
                <c:pt idx="1">
                  <c:v>3.5039827056359406E-2</c:v>
                </c:pt>
                <c:pt idx="2">
                  <c:v>6.6413736153452141E-2</c:v>
                </c:pt>
                <c:pt idx="3">
                  <c:v>0.11600601362217448</c:v>
                </c:pt>
                <c:pt idx="4">
                  <c:v>0.15997087343536545</c:v>
                </c:pt>
                <c:pt idx="5">
                  <c:v>0.21116713427448019</c:v>
                </c:pt>
                <c:pt idx="6">
                  <c:v>0.52978072761168804</c:v>
                </c:pt>
                <c:pt idx="7">
                  <c:v>0.60693429851224812</c:v>
                </c:pt>
                <c:pt idx="8">
                  <c:v>0.68586577189880482</c:v>
                </c:pt>
                <c:pt idx="9">
                  <c:v>0.75506878921287734</c:v>
                </c:pt>
                <c:pt idx="10">
                  <c:v>0.9651186244065928</c:v>
                </c:pt>
                <c:pt idx="11">
                  <c:v>1.0277938487499176</c:v>
                </c:pt>
                <c:pt idx="12">
                  <c:v>1.0740001155247478</c:v>
                </c:pt>
                <c:pt idx="13">
                  <c:v>1.123517390626154</c:v>
                </c:pt>
                <c:pt idx="14">
                  <c:v>1.146483875971172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31-48EA-94F1-A1383AC36B67}"/>
            </c:ext>
          </c:extLst>
        </c:ser>
        <c:ser>
          <c:idx val="1"/>
          <c:order val="3"/>
          <c:tx>
            <c:v>NH3 0.6M</c:v>
          </c:tx>
          <c:spPr>
            <a:ln w="28575">
              <a:noFill/>
            </a:ln>
          </c:spPr>
          <c:xVal>
            <c:numRef>
              <c:f>Sheet1!$U$73:$U$84</c:f>
              <c:numCache>
                <c:formatCode>General</c:formatCode>
                <c:ptCount val="12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0.5</c:v>
                </c:pt>
                <c:pt idx="4">
                  <c:v>0.66666666666666663</c:v>
                </c:pt>
                <c:pt idx="5">
                  <c:v>1</c:v>
                </c:pt>
                <c:pt idx="6">
                  <c:v>1.3333333333333333</c:v>
                </c:pt>
                <c:pt idx="7">
                  <c:v>1.6666666666666667</c:v>
                </c:pt>
                <c:pt idx="8">
                  <c:v>2</c:v>
                </c:pt>
                <c:pt idx="9">
                  <c:v>2.3333333333333335</c:v>
                </c:pt>
                <c:pt idx="10">
                  <c:v>2.6666666666666665</c:v>
                </c:pt>
                <c:pt idx="11">
                  <c:v>4.166666666666667</c:v>
                </c:pt>
              </c:numCache>
            </c:numRef>
          </c:xVal>
          <c:yVal>
            <c:numRef>
              <c:f>Sheet1!$Y$73:$Y$84</c:f>
              <c:numCache>
                <c:formatCode>General</c:formatCode>
                <c:ptCount val="12"/>
                <c:pt idx="0">
                  <c:v>1.5083707398729697E-3</c:v>
                </c:pt>
                <c:pt idx="1">
                  <c:v>1.4828054808757591E-2</c:v>
                </c:pt>
                <c:pt idx="2">
                  <c:v>2.7727105650242216E-2</c:v>
                </c:pt>
                <c:pt idx="3">
                  <c:v>3.9346708150531463E-2</c:v>
                </c:pt>
                <c:pt idx="4">
                  <c:v>4.9480826199784216E-2</c:v>
                </c:pt>
                <c:pt idx="5">
                  <c:v>6.6670634411337359E-2</c:v>
                </c:pt>
                <c:pt idx="6">
                  <c:v>8.1440767301225583E-2</c:v>
                </c:pt>
                <c:pt idx="7">
                  <c:v>9.4578468533145041E-2</c:v>
                </c:pt>
                <c:pt idx="8">
                  <c:v>0.10662267882027106</c:v>
                </c:pt>
                <c:pt idx="9">
                  <c:v>0.11778165778568782</c:v>
                </c:pt>
                <c:pt idx="10">
                  <c:v>0.12775004312525221</c:v>
                </c:pt>
                <c:pt idx="11" formatCode="0.000">
                  <c:v>0.16618265867964338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31-48EA-94F1-A1383AC36B67}"/>
            </c:ext>
          </c:extLst>
        </c:ser>
        <c:ser>
          <c:idx val="0"/>
          <c:order val="4"/>
          <c:tx>
            <c:v>saturation line</c:v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Sheet1!$Y$153:$Y$193</c:f>
              <c:numCache>
                <c:formatCode>General</c:formatCode>
                <c:ptCount val="41"/>
                <c:pt idx="0">
                  <c:v>0</c:v>
                </c:pt>
                <c:pt idx="1">
                  <c:v>1.6666666666666667</c:v>
                </c:pt>
                <c:pt idx="2">
                  <c:v>3.3333333333333335</c:v>
                </c:pt>
                <c:pt idx="3">
                  <c:v>5</c:v>
                </c:pt>
                <c:pt idx="4">
                  <c:v>6.666666666666667</c:v>
                </c:pt>
                <c:pt idx="5">
                  <c:v>8.3333333333333339</c:v>
                </c:pt>
                <c:pt idx="6">
                  <c:v>10</c:v>
                </c:pt>
                <c:pt idx="7">
                  <c:v>11.666666666666666</c:v>
                </c:pt>
                <c:pt idx="8">
                  <c:v>13.333333333333334</c:v>
                </c:pt>
                <c:pt idx="9">
                  <c:v>15</c:v>
                </c:pt>
                <c:pt idx="10">
                  <c:v>16.666666666666668</c:v>
                </c:pt>
                <c:pt idx="11">
                  <c:v>18.333333333333332</c:v>
                </c:pt>
                <c:pt idx="12">
                  <c:v>20</c:v>
                </c:pt>
                <c:pt idx="13">
                  <c:v>21.666666666666668</c:v>
                </c:pt>
                <c:pt idx="14">
                  <c:v>23.333333333333332</c:v>
                </c:pt>
                <c:pt idx="15">
                  <c:v>25</c:v>
                </c:pt>
                <c:pt idx="16">
                  <c:v>26.666666666666668</c:v>
                </c:pt>
                <c:pt idx="17">
                  <c:v>28.333333333333332</c:v>
                </c:pt>
                <c:pt idx="18">
                  <c:v>30</c:v>
                </c:pt>
                <c:pt idx="19">
                  <c:v>31.666666666666668</c:v>
                </c:pt>
                <c:pt idx="20">
                  <c:v>33.333333333333336</c:v>
                </c:pt>
                <c:pt idx="21">
                  <c:v>35</c:v>
                </c:pt>
                <c:pt idx="22">
                  <c:v>36.666666666666664</c:v>
                </c:pt>
                <c:pt idx="23">
                  <c:v>38.333333333333336</c:v>
                </c:pt>
                <c:pt idx="24">
                  <c:v>40</c:v>
                </c:pt>
                <c:pt idx="25">
                  <c:v>41.666666666666664</c:v>
                </c:pt>
                <c:pt idx="26">
                  <c:v>43.333333333333336</c:v>
                </c:pt>
                <c:pt idx="27">
                  <c:v>45</c:v>
                </c:pt>
                <c:pt idx="28">
                  <c:v>46.666666666666664</c:v>
                </c:pt>
                <c:pt idx="29">
                  <c:v>48.333333333333336</c:v>
                </c:pt>
                <c:pt idx="30">
                  <c:v>50</c:v>
                </c:pt>
                <c:pt idx="31">
                  <c:v>51.666666666666664</c:v>
                </c:pt>
                <c:pt idx="32">
                  <c:v>53.333333333333336</c:v>
                </c:pt>
                <c:pt idx="33">
                  <c:v>55</c:v>
                </c:pt>
                <c:pt idx="34">
                  <c:v>56.666666666666664</c:v>
                </c:pt>
                <c:pt idx="35">
                  <c:v>58.333333333333336</c:v>
                </c:pt>
                <c:pt idx="36">
                  <c:v>60</c:v>
                </c:pt>
                <c:pt idx="37">
                  <c:v>61.666666666666664</c:v>
                </c:pt>
                <c:pt idx="38">
                  <c:v>63.333333333333336</c:v>
                </c:pt>
                <c:pt idx="39">
                  <c:v>65</c:v>
                </c:pt>
                <c:pt idx="40">
                  <c:v>66.666666666666671</c:v>
                </c:pt>
              </c:numCache>
            </c:numRef>
          </c:xVal>
          <c:yVal>
            <c:numRef>
              <c:f>Sheet1!$AA$153:$AA$193</c:f>
              <c:numCache>
                <c:formatCode>General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531-48EA-94F1-A1383AC36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05024"/>
        <c:axId val="113911296"/>
      </c:scatterChart>
      <c:valAx>
        <c:axId val="11390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US" sz="1500"/>
                  <a:t>time (hours)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911296"/>
        <c:crosses val="autoZero"/>
        <c:crossBetween val="midCat"/>
      </c:valAx>
      <c:valAx>
        <c:axId val="1139112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Ssol/S*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90502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Qg=60ml/min; VOL liq=100ml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811E-2"/>
          <c:y val="0.10702295599707137"/>
          <c:w val="0.78813719181362607"/>
          <c:h val="0.71952231368613961"/>
        </c:manualLayout>
      </c:layout>
      <c:barChart>
        <c:barDir val="col"/>
        <c:grouping val="clustered"/>
        <c:varyColors val="0"/>
        <c:ser>
          <c:idx val="4"/>
          <c:order val="0"/>
          <c:tx>
            <c:v>NH3 3M (Qgin 60ml/min)</c:v>
          </c:tx>
          <c:spPr>
            <a:ln w="28575">
              <a:noFill/>
            </a:ln>
          </c:spPr>
          <c:invertIfNegative val="0"/>
          <c:cat>
            <c:numRef>
              <c:f>Sheet1!$DI$52:$DI$61</c:f>
              <c:numCache>
                <c:formatCode>General</c:formatCode>
                <c:ptCount val="10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19.166666666666668</c:v>
                </c:pt>
                <c:pt idx="7">
                  <c:v>25</c:v>
                </c:pt>
                <c:pt idx="8">
                  <c:v>50</c:v>
                </c:pt>
                <c:pt idx="9">
                  <c:v>60</c:v>
                </c:pt>
              </c:numCache>
            </c:numRef>
          </c:cat>
          <c:val>
            <c:numRef>
              <c:f>Sheet1!$AV$48:$AV$54</c:f>
              <c:numCache>
                <c:formatCode>General</c:formatCode>
                <c:ptCount val="7"/>
                <c:pt idx="0">
                  <c:v>1</c:v>
                </c:pt>
                <c:pt idx="1">
                  <c:v>0.9334028651124856</c:v>
                </c:pt>
                <c:pt idx="2">
                  <c:v>0.77264908758853745</c:v>
                </c:pt>
                <c:pt idx="3">
                  <c:v>0.58418172299947324</c:v>
                </c:pt>
                <c:pt idx="4">
                  <c:v>0.4135845098828162</c:v>
                </c:pt>
                <c:pt idx="5">
                  <c:v>0.32118287109747751</c:v>
                </c:pt>
                <c:pt idx="6">
                  <c:v>0.1202382606060223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4-4385-B0F5-D8FE2591D897}"/>
            </c:ext>
          </c:extLst>
        </c:ser>
        <c:ser>
          <c:idx val="5"/>
          <c:order val="1"/>
          <c:tx>
            <c:v>NH3 3M (Qgin 60ml/min) upside down</c:v>
          </c:tx>
          <c:spPr>
            <a:ln w="28575">
              <a:noFill/>
            </a:ln>
          </c:spPr>
          <c:invertIfNegative val="0"/>
          <c:cat>
            <c:numRef>
              <c:f>Sheet1!$DI$52:$DI$61</c:f>
              <c:numCache>
                <c:formatCode>General</c:formatCode>
                <c:ptCount val="10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19.166666666666668</c:v>
                </c:pt>
                <c:pt idx="7">
                  <c:v>25</c:v>
                </c:pt>
                <c:pt idx="8">
                  <c:v>50</c:v>
                </c:pt>
                <c:pt idx="9">
                  <c:v>60</c:v>
                </c:pt>
              </c:numCache>
            </c:numRef>
          </c:cat>
          <c:val>
            <c:numRef>
              <c:f>Sheet1!$CF$48:$CF$56</c:f>
              <c:numCache>
                <c:formatCode>General</c:formatCode>
                <c:ptCount val="9"/>
                <c:pt idx="0">
                  <c:v>1</c:v>
                </c:pt>
                <c:pt idx="1">
                  <c:v>0.93293140565311627</c:v>
                </c:pt>
                <c:pt idx="2">
                  <c:v>0.81608072327942605</c:v>
                </c:pt>
                <c:pt idx="3">
                  <c:v>0.62834723698162298</c:v>
                </c:pt>
                <c:pt idx="4">
                  <c:v>0.44450409227013632</c:v>
                </c:pt>
                <c:pt idx="5">
                  <c:v>0.33112903752169248</c:v>
                </c:pt>
                <c:pt idx="6">
                  <c:v>0.11106931433162213</c:v>
                </c:pt>
                <c:pt idx="7">
                  <c:v>7.1555337919435802E-2</c:v>
                </c:pt>
                <c:pt idx="8">
                  <c:v>5.1094254515345439E-2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4-4385-B0F5-D8FE2591D897}"/>
            </c:ext>
          </c:extLst>
        </c:ser>
        <c:ser>
          <c:idx val="6"/>
          <c:order val="2"/>
          <c:tx>
            <c:v>NH3 2.3M (Qgin 60ml/min) 1st</c:v>
          </c:tx>
          <c:spPr>
            <a:ln w="28575">
              <a:noFill/>
            </a:ln>
          </c:spPr>
          <c:invertIfNegative val="0"/>
          <c:cat>
            <c:numRef>
              <c:f>Sheet1!$DI$52:$DI$61</c:f>
              <c:numCache>
                <c:formatCode>General</c:formatCode>
                <c:ptCount val="10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19.166666666666668</c:v>
                </c:pt>
                <c:pt idx="7">
                  <c:v>25</c:v>
                </c:pt>
                <c:pt idx="8">
                  <c:v>50</c:v>
                </c:pt>
                <c:pt idx="9">
                  <c:v>60</c:v>
                </c:pt>
              </c:numCache>
            </c:numRef>
          </c:cat>
          <c:val>
            <c:numRef>
              <c:f>Sheet1!$CN$48:$CN$56</c:f>
              <c:numCache>
                <c:formatCode>General</c:formatCode>
                <c:ptCount val="9"/>
                <c:pt idx="0">
                  <c:v>1</c:v>
                </c:pt>
                <c:pt idx="1">
                  <c:v>0.93254063412619836</c:v>
                </c:pt>
                <c:pt idx="2">
                  <c:v>0.83460244803390871</c:v>
                </c:pt>
                <c:pt idx="3">
                  <c:v>0.68478923092919053</c:v>
                </c:pt>
                <c:pt idx="4">
                  <c:v>0.49636162841711901</c:v>
                </c:pt>
                <c:pt idx="5">
                  <c:v>0.38381943201860852</c:v>
                </c:pt>
                <c:pt idx="6">
                  <c:v>0.13361791658716249</c:v>
                </c:pt>
                <c:pt idx="7">
                  <c:v>0.12008838912710734</c:v>
                </c:pt>
                <c:pt idx="8">
                  <c:v>4.4866778504279267E-2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D4-4385-B0F5-D8FE2591D897}"/>
            </c:ext>
          </c:extLst>
        </c:ser>
        <c:ser>
          <c:idx val="3"/>
          <c:order val="3"/>
          <c:tx>
            <c:v>NH3 2.3M (Qgin 60ml/min) 2nd</c:v>
          </c:tx>
          <c:spPr>
            <a:ln w="28575">
              <a:noFill/>
            </a:ln>
          </c:spPr>
          <c:invertIfNegative val="0"/>
          <c:cat>
            <c:numRef>
              <c:f>Sheet1!$DI$52:$DI$61</c:f>
              <c:numCache>
                <c:formatCode>General</c:formatCode>
                <c:ptCount val="10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19.166666666666668</c:v>
                </c:pt>
                <c:pt idx="7">
                  <c:v>25</c:v>
                </c:pt>
                <c:pt idx="8">
                  <c:v>50</c:v>
                </c:pt>
                <c:pt idx="9">
                  <c:v>60</c:v>
                </c:pt>
              </c:numCache>
            </c:numRef>
          </c:cat>
          <c:val>
            <c:numRef>
              <c:f>Sheet1!$DJ$52:$DJ$61</c:f>
              <c:numCache>
                <c:formatCode>General</c:formatCode>
                <c:ptCount val="10"/>
                <c:pt idx="0">
                  <c:v>1</c:v>
                </c:pt>
                <c:pt idx="1">
                  <c:v>0.94640519911850829</c:v>
                </c:pt>
                <c:pt idx="2">
                  <c:v>0.85218966632524729</c:v>
                </c:pt>
                <c:pt idx="3">
                  <c:v>0.67352184672925874</c:v>
                </c:pt>
                <c:pt idx="4">
                  <c:v>0.59709485194038692</c:v>
                </c:pt>
                <c:pt idx="5">
                  <c:v>0.46353722670820963</c:v>
                </c:pt>
                <c:pt idx="6">
                  <c:v>8.933190547981347E-2</c:v>
                </c:pt>
                <c:pt idx="7">
                  <c:v>7.8321576126456918E-2</c:v>
                </c:pt>
                <c:pt idx="8">
                  <c:v>5.6041935481342862E-2</c:v>
                </c:pt>
                <c:pt idx="9">
                  <c:v>9.4518807264948844E-3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D4-4385-B0F5-D8FE2591D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46624"/>
        <c:axId val="113948544"/>
      </c:barChart>
      <c:catAx>
        <c:axId val="11394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/>
                  <a:t>time</a:t>
                </a:r>
                <a:r>
                  <a:rPr lang="en-GB" sz="1500" baseline="0"/>
                  <a:t>  (hours)</a:t>
                </a:r>
                <a:endParaRPr lang="en-GB" sz="1500"/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948544"/>
        <c:crosses val="autoZero"/>
        <c:auto val="1"/>
        <c:lblAlgn val="ctr"/>
        <c:lblOffset val="100"/>
        <c:noMultiLvlLbl val="0"/>
      </c:catAx>
      <c:valAx>
        <c:axId val="113948544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</a:t>
                </a:r>
                <a:r>
                  <a:rPr lang="en-US" sz="1500" baseline="-25000"/>
                  <a:t>CO2</a:t>
                </a:r>
                <a:r>
                  <a:rPr lang="en-US" sz="1500"/>
                  <a:t> /J</a:t>
                </a:r>
                <a:r>
                  <a:rPr lang="en-US" sz="1500" baseline="-25000"/>
                  <a:t>CO2init </a:t>
                </a:r>
                <a:r>
                  <a:rPr lang="en-US" sz="1500"/>
                  <a:t>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946624"/>
        <c:crosses val="autoZero"/>
        <c:crossBetween val="between"/>
        <c:majorUnit val="2"/>
        <c:minorUnit val="4.0000000000000022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Qg=50ml/min; VOL liq=100ml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881E-2"/>
          <c:y val="0.1070229559970714"/>
          <c:w val="0.78813719181362585"/>
          <c:h val="0.71952231368613961"/>
        </c:manualLayout>
      </c:layout>
      <c:barChart>
        <c:barDir val="col"/>
        <c:grouping val="clustered"/>
        <c:varyColors val="0"/>
        <c:ser>
          <c:idx val="0"/>
          <c:order val="0"/>
          <c:tx>
            <c:v>NH3 0.006M</c:v>
          </c:tx>
          <c:spPr>
            <a:ln w="28575">
              <a:noFill/>
            </a:ln>
          </c:spPr>
          <c:invertIfNegative val="0"/>
          <c:cat>
            <c:numRef>
              <c:f>Sheet1!$R$36:$R$47</c:f>
              <c:numCache>
                <c:formatCode>General</c:formatCode>
                <c:ptCount val="12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60</c:v>
                </c:pt>
                <c:pt idx="6">
                  <c:v>80</c:v>
                </c:pt>
                <c:pt idx="7">
                  <c:v>100</c:v>
                </c:pt>
                <c:pt idx="8">
                  <c:v>120</c:v>
                </c:pt>
                <c:pt idx="9">
                  <c:v>140</c:v>
                </c:pt>
                <c:pt idx="10">
                  <c:v>160</c:v>
                </c:pt>
                <c:pt idx="11">
                  <c:v>250</c:v>
                </c:pt>
              </c:numCache>
            </c:numRef>
          </c:cat>
          <c:val>
            <c:numRef>
              <c:f>Sheet1!$G$18:$G$20</c:f>
              <c:numCache>
                <c:formatCode>General</c:formatCode>
                <c:ptCount val="3"/>
                <c:pt idx="0">
                  <c:v>1</c:v>
                </c:pt>
                <c:pt idx="1">
                  <c:v>0.31407282527103636</c:v>
                </c:pt>
                <c:pt idx="2">
                  <c:v>0.22269578787000288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1-4E4E-B1F0-E3B022BDB0F4}"/>
            </c:ext>
          </c:extLst>
        </c:ser>
        <c:ser>
          <c:idx val="1"/>
          <c:order val="1"/>
          <c:tx>
            <c:v>NH3 0.06M</c:v>
          </c:tx>
          <c:spPr>
            <a:ln w="28575">
              <a:noFill/>
            </a:ln>
          </c:spPr>
          <c:invertIfNegative val="0"/>
          <c:cat>
            <c:numRef>
              <c:f>Sheet1!$R$36:$R$47</c:f>
              <c:numCache>
                <c:formatCode>General</c:formatCode>
                <c:ptCount val="12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60</c:v>
                </c:pt>
                <c:pt idx="6">
                  <c:v>80</c:v>
                </c:pt>
                <c:pt idx="7">
                  <c:v>100</c:v>
                </c:pt>
                <c:pt idx="8">
                  <c:v>120</c:v>
                </c:pt>
                <c:pt idx="9">
                  <c:v>140</c:v>
                </c:pt>
                <c:pt idx="10">
                  <c:v>160</c:v>
                </c:pt>
                <c:pt idx="11">
                  <c:v>250</c:v>
                </c:pt>
              </c:numCache>
            </c:numRef>
          </c:cat>
          <c:val>
            <c:numRef>
              <c:f>Sheet1!$Q$18:$Q$21</c:f>
              <c:numCache>
                <c:formatCode>General</c:formatCode>
                <c:ptCount val="4"/>
                <c:pt idx="0">
                  <c:v>1</c:v>
                </c:pt>
                <c:pt idx="1">
                  <c:v>0.69202834799609036</c:v>
                </c:pt>
                <c:pt idx="2">
                  <c:v>0.45069721606307506</c:v>
                </c:pt>
                <c:pt idx="3">
                  <c:v>0.35306243511790364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1-4E4E-B1F0-E3B022BDB0F4}"/>
            </c:ext>
          </c:extLst>
        </c:ser>
        <c:ser>
          <c:idx val="2"/>
          <c:order val="2"/>
          <c:tx>
            <c:v>NH3 0.6M</c:v>
          </c:tx>
          <c:spPr>
            <a:ln w="28575">
              <a:noFill/>
            </a:ln>
          </c:spPr>
          <c:invertIfNegative val="0"/>
          <c:cat>
            <c:numRef>
              <c:f>Sheet1!$R$36:$R$47</c:f>
              <c:numCache>
                <c:formatCode>General</c:formatCode>
                <c:ptCount val="12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60</c:v>
                </c:pt>
                <c:pt idx="6">
                  <c:v>80</c:v>
                </c:pt>
                <c:pt idx="7">
                  <c:v>100</c:v>
                </c:pt>
                <c:pt idx="8">
                  <c:v>120</c:v>
                </c:pt>
                <c:pt idx="9">
                  <c:v>140</c:v>
                </c:pt>
                <c:pt idx="10">
                  <c:v>160</c:v>
                </c:pt>
                <c:pt idx="11">
                  <c:v>250</c:v>
                </c:pt>
              </c:numCache>
            </c:numRef>
          </c:cat>
          <c:val>
            <c:numRef>
              <c:f>Sheet1!$P$36:$P$47</c:f>
              <c:numCache>
                <c:formatCode>General</c:formatCode>
                <c:ptCount val="12"/>
                <c:pt idx="0">
                  <c:v>1</c:v>
                </c:pt>
                <c:pt idx="1">
                  <c:v>0.98116786372253129</c:v>
                </c:pt>
                <c:pt idx="2">
                  <c:v>0.85516448314099114</c:v>
                </c:pt>
                <c:pt idx="3">
                  <c:v>0.77034128236058264</c:v>
                </c:pt>
                <c:pt idx="4">
                  <c:v>0.6718585677488158</c:v>
                </c:pt>
                <c:pt idx="5">
                  <c:v>0.56981376518218585</c:v>
                </c:pt>
                <c:pt idx="6">
                  <c:v>0.48960552268244517</c:v>
                </c:pt>
                <c:pt idx="7">
                  <c:v>0.43549310804802061</c:v>
                </c:pt>
                <c:pt idx="8">
                  <c:v>0.39924568836903945</c:v>
                </c:pt>
                <c:pt idx="9">
                  <c:v>0.36990173139915633</c:v>
                </c:pt>
                <c:pt idx="10">
                  <c:v>0.33043551814071498</c:v>
                </c:pt>
                <c:pt idx="11">
                  <c:v>0.28310616907844594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61-4E4E-B1F0-E3B022BD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22752"/>
        <c:axId val="114124672"/>
      </c:barChart>
      <c:catAx>
        <c:axId val="11412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/>
                  <a:t>time</a:t>
                </a:r>
                <a:r>
                  <a:rPr lang="en-GB" sz="1500" baseline="0"/>
                  <a:t>  (min)</a:t>
                </a:r>
                <a:endParaRPr lang="en-GB" sz="15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4124672"/>
        <c:crosses val="autoZero"/>
        <c:auto val="1"/>
        <c:lblAlgn val="ctr"/>
        <c:lblOffset val="100"/>
        <c:noMultiLvlLbl val="0"/>
      </c:catAx>
      <c:valAx>
        <c:axId val="1141246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</a:t>
                </a:r>
                <a:r>
                  <a:rPr lang="en-US" sz="1500" baseline="-25000"/>
                  <a:t>CO2</a:t>
                </a:r>
                <a:r>
                  <a:rPr lang="en-US" sz="1500"/>
                  <a:t> /J</a:t>
                </a:r>
                <a:r>
                  <a:rPr lang="en-US" sz="1500" baseline="-25000"/>
                  <a:t>CO2init </a:t>
                </a:r>
                <a:r>
                  <a:rPr lang="en-US" sz="1500"/>
                  <a:t>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4122752"/>
        <c:crosses val="autoZero"/>
        <c:crossBetween val="between"/>
        <c:majorUnit val="0.2"/>
        <c:minorUnit val="4.0000000000000008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Qg=50ml/min; VOL liq=100ml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Sheet1!$M$294:$O$294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C-4612-A49A-8F2306D2A4E6}"/>
            </c:ext>
          </c:extLst>
        </c:ser>
        <c:ser>
          <c:idx val="1"/>
          <c:order val="1"/>
          <c:tx>
            <c:v>10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Sheet1!$M$295:$O$295</c:f>
              <c:numCache>
                <c:formatCode>General</c:formatCode>
                <c:ptCount val="3"/>
                <c:pt idx="0">
                  <c:v>0.31407282527103636</c:v>
                </c:pt>
                <c:pt idx="1">
                  <c:v>0.69202834799609036</c:v>
                </c:pt>
                <c:pt idx="2">
                  <c:v>0.98116786372253129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C-4612-A49A-8F2306D2A4E6}"/>
            </c:ext>
          </c:extLst>
        </c:ser>
        <c:ser>
          <c:idx val="2"/>
          <c:order val="2"/>
          <c:tx>
            <c:v>20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Sheet1!$M$296:$O$296</c:f>
              <c:numCache>
                <c:formatCode>General</c:formatCode>
                <c:ptCount val="3"/>
                <c:pt idx="0">
                  <c:v>0.22269578787000288</c:v>
                </c:pt>
                <c:pt idx="1">
                  <c:v>0.45069721606307506</c:v>
                </c:pt>
                <c:pt idx="2">
                  <c:v>0.85516448314099114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C-4612-A49A-8F2306D2A4E6}"/>
            </c:ext>
          </c:extLst>
        </c:ser>
        <c:ser>
          <c:idx val="3"/>
          <c:order val="3"/>
          <c:tx>
            <c:v>30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Sheet1!$M$297:$O$297</c:f>
              <c:numCache>
                <c:formatCode>General</c:formatCode>
                <c:ptCount val="3"/>
                <c:pt idx="1">
                  <c:v>0.35306243511790364</c:v>
                </c:pt>
                <c:pt idx="2">
                  <c:v>0.77034128236058264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C-4612-A49A-8F2306D2A4E6}"/>
            </c:ext>
          </c:extLst>
        </c:ser>
        <c:ser>
          <c:idx val="4"/>
          <c:order val="4"/>
          <c:tx>
            <c:v>40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Sheet1!$M$298:$O$298</c:f>
              <c:numCache>
                <c:formatCode>General</c:formatCode>
                <c:ptCount val="3"/>
                <c:pt idx="2">
                  <c:v>0.6718585677488158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3C-4612-A49A-8F2306D2A4E6}"/>
            </c:ext>
          </c:extLst>
        </c:ser>
        <c:ser>
          <c:idx val="5"/>
          <c:order val="5"/>
          <c:tx>
            <c:v>60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Sheet1!$M$299:$O$299</c:f>
              <c:numCache>
                <c:formatCode>General</c:formatCode>
                <c:ptCount val="3"/>
                <c:pt idx="2">
                  <c:v>0.56981376518218585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3C-4612-A49A-8F2306D2A4E6}"/>
            </c:ext>
          </c:extLst>
        </c:ser>
        <c:ser>
          <c:idx val="6"/>
          <c:order val="6"/>
          <c:tx>
            <c:v>80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Sheet1!$M$300:$O$300</c:f>
              <c:numCache>
                <c:formatCode>General</c:formatCode>
                <c:ptCount val="3"/>
                <c:pt idx="2">
                  <c:v>0.48960552268244517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3C-4612-A49A-8F2306D2A4E6}"/>
            </c:ext>
          </c:extLst>
        </c:ser>
        <c:ser>
          <c:idx val="7"/>
          <c:order val="7"/>
          <c:tx>
            <c:v>100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Sheet1!$M$301:$O$301</c:f>
              <c:numCache>
                <c:formatCode>General</c:formatCode>
                <c:ptCount val="3"/>
                <c:pt idx="2">
                  <c:v>0.43549310804802061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3C-4612-A49A-8F2306D2A4E6}"/>
            </c:ext>
          </c:extLst>
        </c:ser>
        <c:ser>
          <c:idx val="8"/>
          <c:order val="8"/>
          <c:tx>
            <c:v>120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Sheet1!$M$302:$O$302</c:f>
              <c:numCache>
                <c:formatCode>General</c:formatCode>
                <c:ptCount val="3"/>
                <c:pt idx="2">
                  <c:v>0.39924568836903945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3C-4612-A49A-8F2306D2A4E6}"/>
            </c:ext>
          </c:extLst>
        </c:ser>
        <c:ser>
          <c:idx val="9"/>
          <c:order val="9"/>
          <c:tx>
            <c:v>140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Sheet1!$M$303:$O$303</c:f>
              <c:numCache>
                <c:formatCode>General</c:formatCode>
                <c:ptCount val="3"/>
                <c:pt idx="2">
                  <c:v>0.36990173139915633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3C-4612-A49A-8F2306D2A4E6}"/>
            </c:ext>
          </c:extLst>
        </c:ser>
        <c:ser>
          <c:idx val="10"/>
          <c:order val="10"/>
          <c:tx>
            <c:v>160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Sheet1!$M$304:$O$304</c:f>
              <c:numCache>
                <c:formatCode>General</c:formatCode>
                <c:ptCount val="3"/>
                <c:pt idx="2">
                  <c:v>0.33043551814071498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3C-4612-A49A-8F2306D2A4E6}"/>
            </c:ext>
          </c:extLst>
        </c:ser>
        <c:ser>
          <c:idx val="11"/>
          <c:order val="11"/>
          <c:tx>
            <c:v>250 min</c:v>
          </c:tx>
          <c:invertIfNegative val="0"/>
          <c:cat>
            <c:numRef>
              <c:f>Sheet1!$M$293:$O$293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Sheet1!$M$305:$O$305</c:f>
              <c:numCache>
                <c:formatCode>General</c:formatCode>
                <c:ptCount val="3"/>
                <c:pt idx="2">
                  <c:v>0.28310616907844594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3C-4612-A49A-8F2306D2A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820992"/>
        <c:axId val="116827264"/>
      </c:barChart>
      <c:catAx>
        <c:axId val="11682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[NH</a:t>
                </a:r>
                <a:r>
                  <a:rPr lang="en-US" baseline="-25000"/>
                  <a:t>3</a:t>
                </a:r>
                <a:r>
                  <a:rPr lang="en-US"/>
                  <a:t>] (mol/L)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827264"/>
        <c:crosses val="autoZero"/>
        <c:auto val="1"/>
        <c:lblAlgn val="ctr"/>
        <c:lblOffset val="100"/>
        <c:noMultiLvlLbl val="0"/>
      </c:catAx>
      <c:valAx>
        <c:axId val="1168272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J</a:t>
                </a:r>
                <a:r>
                  <a:rPr lang="en-US" baseline="-25000"/>
                  <a:t>CO2</a:t>
                </a:r>
                <a:r>
                  <a:rPr lang="en-US"/>
                  <a:t> (t)/J</a:t>
                </a:r>
                <a:r>
                  <a:rPr lang="en-US" baseline="-25000"/>
                  <a:t>CO2</a:t>
                </a:r>
                <a:r>
                  <a:rPr lang="en-US"/>
                  <a:t> (t</a:t>
                </a:r>
                <a:r>
                  <a:rPr lang="en-US" baseline="-25000"/>
                  <a:t>0</a:t>
                </a:r>
                <a:r>
                  <a:rPr lang="en-US"/>
                  <a:t>)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82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Qg=60ml/min; VOL liq=100ml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cat>
            <c:strRef>
              <c:f>Sheet1!$C$293:$F$293</c:f>
              <c:strCache>
                <c:ptCount val="4"/>
                <c:pt idx="0">
                  <c:v>2.3 1st</c:v>
                </c:pt>
                <c:pt idx="1">
                  <c:v>2.3 2nd</c:v>
                </c:pt>
                <c:pt idx="2">
                  <c:v>3</c:v>
                </c:pt>
                <c:pt idx="3">
                  <c:v>3 upside down</c:v>
                </c:pt>
              </c:strCache>
            </c:strRef>
          </c:cat>
          <c:val>
            <c:numRef>
              <c:f>Sheet1!$C$294:$F$294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1-49A0-B325-1E40F53FBE3A}"/>
            </c:ext>
          </c:extLst>
        </c:ser>
        <c:ser>
          <c:idx val="1"/>
          <c:order val="1"/>
          <c:tx>
            <c:v>10 min</c:v>
          </c:tx>
          <c:invertIfNegative val="0"/>
          <c:val>
            <c:numRef>
              <c:f>Sheet1!$C$295:$F$295</c:f>
              <c:numCache>
                <c:formatCode>General</c:formatCode>
                <c:ptCount val="4"/>
                <c:pt idx="0">
                  <c:v>0.94640519911850829</c:v>
                </c:pt>
                <c:pt idx="1">
                  <c:v>0.93254063412619836</c:v>
                </c:pt>
                <c:pt idx="2">
                  <c:v>0.9334028651124856</c:v>
                </c:pt>
                <c:pt idx="3">
                  <c:v>0.93293140565311627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51-49A0-B325-1E40F53FBE3A}"/>
            </c:ext>
          </c:extLst>
        </c:ser>
        <c:ser>
          <c:idx val="2"/>
          <c:order val="2"/>
          <c:tx>
            <c:v>20 min</c:v>
          </c:tx>
          <c:invertIfNegative val="0"/>
          <c:val>
            <c:numRef>
              <c:f>Sheet1!$C$296:$F$296</c:f>
              <c:numCache>
                <c:formatCode>General</c:formatCode>
                <c:ptCount val="4"/>
                <c:pt idx="0">
                  <c:v>0.85218966632524729</c:v>
                </c:pt>
                <c:pt idx="1">
                  <c:v>0.83460244803390871</c:v>
                </c:pt>
                <c:pt idx="2">
                  <c:v>0.77264908758853745</c:v>
                </c:pt>
                <c:pt idx="3">
                  <c:v>0.81608072327942605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51-49A0-B325-1E40F53FBE3A}"/>
            </c:ext>
          </c:extLst>
        </c:ser>
        <c:ser>
          <c:idx val="3"/>
          <c:order val="3"/>
          <c:tx>
            <c:v>40 min</c:v>
          </c:tx>
          <c:invertIfNegative val="0"/>
          <c:val>
            <c:numRef>
              <c:f>Sheet1!$C$297:$F$297</c:f>
              <c:numCache>
                <c:formatCode>General</c:formatCode>
                <c:ptCount val="4"/>
                <c:pt idx="0">
                  <c:v>0.67352184672925874</c:v>
                </c:pt>
                <c:pt idx="1">
                  <c:v>0.68478923092919053</c:v>
                </c:pt>
                <c:pt idx="2">
                  <c:v>0.58418172299947324</c:v>
                </c:pt>
                <c:pt idx="3">
                  <c:v>0.62834723698162298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51-49A0-B325-1E40F53FBE3A}"/>
            </c:ext>
          </c:extLst>
        </c:ser>
        <c:ser>
          <c:idx val="4"/>
          <c:order val="4"/>
          <c:tx>
            <c:v>70 min</c:v>
          </c:tx>
          <c:invertIfNegative val="0"/>
          <c:val>
            <c:numRef>
              <c:f>Sheet1!$C$298:$F$298</c:f>
              <c:numCache>
                <c:formatCode>General</c:formatCode>
                <c:ptCount val="4"/>
                <c:pt idx="0">
                  <c:v>0.59709485194038692</c:v>
                </c:pt>
                <c:pt idx="1">
                  <c:v>0.49636162841711901</c:v>
                </c:pt>
                <c:pt idx="2">
                  <c:v>0.4135845098828162</c:v>
                </c:pt>
                <c:pt idx="3">
                  <c:v>0.44450409227013632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51-49A0-B325-1E40F53FBE3A}"/>
            </c:ext>
          </c:extLst>
        </c:ser>
        <c:ser>
          <c:idx val="5"/>
          <c:order val="5"/>
          <c:tx>
            <c:v>100 min</c:v>
          </c:tx>
          <c:invertIfNegative val="0"/>
          <c:val>
            <c:numRef>
              <c:f>Sheet1!$C$299:$F$299</c:f>
              <c:numCache>
                <c:formatCode>General</c:formatCode>
                <c:ptCount val="4"/>
                <c:pt idx="0">
                  <c:v>0.46353722670820963</c:v>
                </c:pt>
                <c:pt idx="1">
                  <c:v>0.38381943201860852</c:v>
                </c:pt>
                <c:pt idx="2">
                  <c:v>0.32118287109747751</c:v>
                </c:pt>
                <c:pt idx="3">
                  <c:v>0.33112903752169248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51-49A0-B325-1E40F53FBE3A}"/>
            </c:ext>
          </c:extLst>
        </c:ser>
        <c:ser>
          <c:idx val="6"/>
          <c:order val="6"/>
          <c:tx>
            <c:v>19 hours</c:v>
          </c:tx>
          <c:invertIfNegative val="0"/>
          <c:val>
            <c:numRef>
              <c:f>Sheet1!$C$300:$F$300</c:f>
              <c:numCache>
                <c:formatCode>General</c:formatCode>
                <c:ptCount val="4"/>
                <c:pt idx="0">
                  <c:v>8.933190547981347E-2</c:v>
                </c:pt>
                <c:pt idx="1">
                  <c:v>0.13361791658716249</c:v>
                </c:pt>
                <c:pt idx="2">
                  <c:v>0.1202382606060223</c:v>
                </c:pt>
                <c:pt idx="3">
                  <c:v>0.11106931433162213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51-49A0-B325-1E40F53FBE3A}"/>
            </c:ext>
          </c:extLst>
        </c:ser>
        <c:ser>
          <c:idx val="7"/>
          <c:order val="7"/>
          <c:tx>
            <c:v>25 hours</c:v>
          </c:tx>
          <c:invertIfNegative val="0"/>
          <c:val>
            <c:numRef>
              <c:f>Sheet1!$C$301:$F$301</c:f>
              <c:numCache>
                <c:formatCode>General</c:formatCode>
                <c:ptCount val="4"/>
                <c:pt idx="0">
                  <c:v>7.8321576126456918E-2</c:v>
                </c:pt>
                <c:pt idx="1">
                  <c:v>0.12008838912710734</c:v>
                </c:pt>
                <c:pt idx="3">
                  <c:v>7.1555337919435802E-2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51-49A0-B325-1E40F53FBE3A}"/>
            </c:ext>
          </c:extLst>
        </c:ser>
        <c:ser>
          <c:idx val="8"/>
          <c:order val="8"/>
          <c:tx>
            <c:v>50 hours</c:v>
          </c:tx>
          <c:invertIfNegative val="0"/>
          <c:val>
            <c:numRef>
              <c:f>Sheet1!$C$302:$F$302</c:f>
              <c:numCache>
                <c:formatCode>General</c:formatCode>
                <c:ptCount val="4"/>
                <c:pt idx="0">
                  <c:v>5.6041935481342862E-2</c:v>
                </c:pt>
                <c:pt idx="1">
                  <c:v>4.4866778504279267E-2</c:v>
                </c:pt>
                <c:pt idx="3">
                  <c:v>5.1094254515345439E-2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51-49A0-B325-1E40F53FBE3A}"/>
            </c:ext>
          </c:extLst>
        </c:ser>
        <c:ser>
          <c:idx val="9"/>
          <c:order val="9"/>
          <c:tx>
            <c:v>60 hours</c:v>
          </c:tx>
          <c:invertIfNegative val="0"/>
          <c:val>
            <c:numRef>
              <c:f>Sheet1!$C$303:$F$303</c:f>
              <c:numCache>
                <c:formatCode>General</c:formatCode>
                <c:ptCount val="4"/>
                <c:pt idx="0">
                  <c:v>9.4518807264948844E-3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551-49A0-B325-1E40F53F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880128"/>
        <c:axId val="116882048"/>
      </c:barChart>
      <c:catAx>
        <c:axId val="1168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u="none" strike="noStrike" baseline="0">
                    <a:effectLst/>
                  </a:rPr>
                  <a:t>[NH</a:t>
                </a:r>
                <a:r>
                  <a:rPr lang="en-US" sz="1000" b="1" i="0" u="none" strike="noStrike" baseline="-25000">
                    <a:effectLst/>
                  </a:rPr>
                  <a:t>3</a:t>
                </a:r>
                <a:r>
                  <a:rPr lang="en-US" sz="1000" b="1" i="0" u="none" strike="noStrike" baseline="0">
                    <a:effectLst/>
                  </a:rPr>
                  <a:t>] (mol/L)</a:t>
                </a:r>
                <a:endParaRPr lang="en-GB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16882048"/>
        <c:crosses val="autoZero"/>
        <c:auto val="1"/>
        <c:lblAlgn val="ctr"/>
        <c:lblOffset val="100"/>
        <c:noMultiLvlLbl val="0"/>
      </c:catAx>
      <c:valAx>
        <c:axId val="1168820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J</a:t>
                </a:r>
                <a:r>
                  <a:rPr lang="en-US" sz="1000" b="1" i="0" baseline="-25000">
                    <a:effectLst/>
                  </a:rPr>
                  <a:t>CO2</a:t>
                </a:r>
                <a:r>
                  <a:rPr lang="en-US" sz="1000" b="1" i="0" baseline="0">
                    <a:effectLst/>
                  </a:rPr>
                  <a:t> (t)/J</a:t>
                </a:r>
                <a:r>
                  <a:rPr lang="en-US" sz="1000" b="1" i="0" baseline="-25000">
                    <a:effectLst/>
                  </a:rPr>
                  <a:t>CO2</a:t>
                </a:r>
                <a:r>
                  <a:rPr lang="en-US" sz="1000" b="1" i="0" baseline="0">
                    <a:effectLst/>
                  </a:rPr>
                  <a:t> (t</a:t>
                </a:r>
                <a:r>
                  <a:rPr lang="en-US" sz="1000" b="1" i="0" baseline="-25000">
                    <a:effectLst/>
                  </a:rPr>
                  <a:t>0</a:t>
                </a:r>
                <a:r>
                  <a:rPr lang="en-US" sz="1000" b="1" i="0" baseline="0">
                    <a:effectLst/>
                  </a:rPr>
                  <a:t>) (-)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880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406726542480653"/>
          <c:y val="0.10291375036453779"/>
          <c:w val="8.610434065471291E-2"/>
          <c:h val="0.8228991688538932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Qg=50ml/min; VOL liq=100ml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cat>
            <c:numRef>
              <c:f>Sheet1!$A$310:$A$312</c:f>
              <c:numCache>
                <c:formatCode>General</c:formatCode>
                <c:ptCount val="3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</c:numCache>
            </c:numRef>
          </c:cat>
          <c:val>
            <c:numRef>
              <c:f>Sheet1!$B$310:$B$312</c:f>
              <c:numCache>
                <c:formatCode>0.0</c:formatCode>
                <c:ptCount val="3"/>
                <c:pt idx="0">
                  <c:v>5.5007740749777841E-4</c:v>
                </c:pt>
                <c:pt idx="1">
                  <c:v>6.7806978400849062E-4</c:v>
                </c:pt>
                <c:pt idx="2">
                  <c:v>3.4994201165052894E-3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E-480E-8967-DBDD67B4E8EF}"/>
            </c:ext>
          </c:extLst>
        </c:ser>
        <c:ser>
          <c:idx val="1"/>
          <c:order val="1"/>
          <c:tx>
            <c:v>10 min</c:v>
          </c:tx>
          <c:invertIfNegative val="0"/>
          <c:val>
            <c:numRef>
              <c:f>Sheet1!$C$310:$C$312</c:f>
              <c:numCache>
                <c:formatCode>0.0</c:formatCode>
                <c:ptCount val="3"/>
                <c:pt idx="0">
                  <c:v>2.1049566969131282E-3</c:v>
                </c:pt>
                <c:pt idx="1">
                  <c:v>4.9012613960896442E-3</c:v>
                </c:pt>
                <c:pt idx="2">
                  <c:v>3.4401087156317608E-2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5E-480E-8967-DBDD67B4E8EF}"/>
            </c:ext>
          </c:extLst>
        </c:ser>
        <c:ser>
          <c:idx val="2"/>
          <c:order val="2"/>
          <c:tx>
            <c:v>20 min</c:v>
          </c:tx>
          <c:invertIfNegative val="0"/>
          <c:val>
            <c:numRef>
              <c:f>Sheet1!$D$310:$D$312</c:f>
              <c:numCache>
                <c:formatCode>0.0</c:formatCode>
                <c:ptCount val="3"/>
                <c:pt idx="0">
                  <c:v>3.329955913435192E-3</c:v>
                </c:pt>
                <c:pt idx="1">
                  <c:v>7.9573030355808167E-3</c:v>
                </c:pt>
                <c:pt idx="2">
                  <c:v>6.4326885108561938E-2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E-480E-8967-DBDD67B4E8EF}"/>
            </c:ext>
          </c:extLst>
        </c:ser>
        <c:ser>
          <c:idx val="3"/>
          <c:order val="3"/>
          <c:tx>
            <c:v>30 min</c:v>
          </c:tx>
          <c:invertIfNegative val="0"/>
          <c:val>
            <c:numRef>
              <c:f>Sheet1!$E$310:$E$312</c:f>
              <c:numCache>
                <c:formatCode>0.0</c:formatCode>
                <c:ptCount val="3"/>
                <c:pt idx="1">
                  <c:v>1.0351312726799903E-2</c:v>
                </c:pt>
                <c:pt idx="2">
                  <c:v>9.1284362909232988E-2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5E-480E-8967-DBDD67B4E8EF}"/>
            </c:ext>
          </c:extLst>
        </c:ser>
        <c:ser>
          <c:idx val="4"/>
          <c:order val="4"/>
          <c:tx>
            <c:v>40 min</c:v>
          </c:tx>
          <c:invertIfNegative val="0"/>
          <c:val>
            <c:numRef>
              <c:f>Sheet1!$F$310:$F$312</c:f>
              <c:numCache>
                <c:formatCode>0.0</c:formatCode>
                <c:ptCount val="3"/>
                <c:pt idx="2">
                  <c:v>0.11479551678349938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5E-480E-8967-DBDD67B4E8EF}"/>
            </c:ext>
          </c:extLst>
        </c:ser>
        <c:ser>
          <c:idx val="5"/>
          <c:order val="5"/>
          <c:tx>
            <c:v>60 min</c:v>
          </c:tx>
          <c:invertIfNegative val="0"/>
          <c:val>
            <c:numRef>
              <c:f>Sheet1!$G$310:$G$312</c:f>
              <c:numCache>
                <c:formatCode>0.0</c:formatCode>
                <c:ptCount val="3"/>
                <c:pt idx="2">
                  <c:v>0.15467587183430265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5E-480E-8967-DBDD67B4E8EF}"/>
            </c:ext>
          </c:extLst>
        </c:ser>
        <c:ser>
          <c:idx val="6"/>
          <c:order val="6"/>
          <c:tx>
            <c:v>80 min</c:v>
          </c:tx>
          <c:invertIfNegative val="0"/>
          <c:val>
            <c:numRef>
              <c:f>Sheet1!$H$310:$H$312</c:f>
              <c:numCache>
                <c:formatCode>0.0</c:formatCode>
                <c:ptCount val="3"/>
                <c:pt idx="2">
                  <c:v>0.18894258013884335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5E-480E-8967-DBDD67B4E8EF}"/>
            </c:ext>
          </c:extLst>
        </c:ser>
        <c:ser>
          <c:idx val="7"/>
          <c:order val="7"/>
          <c:tx>
            <c:v>100 min</c:v>
          </c:tx>
          <c:invertIfNegative val="0"/>
          <c:val>
            <c:numRef>
              <c:f>Sheet1!$I$310:$I$312</c:f>
              <c:numCache>
                <c:formatCode>0.0</c:formatCode>
                <c:ptCount val="3"/>
                <c:pt idx="2">
                  <c:v>0.21942204699689646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5E-480E-8967-DBDD67B4E8EF}"/>
            </c:ext>
          </c:extLst>
        </c:ser>
        <c:ser>
          <c:idx val="8"/>
          <c:order val="8"/>
          <c:tx>
            <c:v>120min</c:v>
          </c:tx>
          <c:invertIfNegative val="0"/>
          <c:val>
            <c:numRef>
              <c:f>Sheet1!$J$310:$J$312</c:f>
              <c:numCache>
                <c:formatCode>0.0</c:formatCode>
                <c:ptCount val="3"/>
                <c:pt idx="2">
                  <c:v>0.24736461486302883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5E-480E-8967-DBDD67B4E8EF}"/>
            </c:ext>
          </c:extLst>
        </c:ser>
        <c:ser>
          <c:idx val="9"/>
          <c:order val="9"/>
          <c:tx>
            <c:v>140 min</c:v>
          </c:tx>
          <c:invertIfNegative val="0"/>
          <c:val>
            <c:numRef>
              <c:f>Sheet1!$K$310:$K$312</c:f>
              <c:numCache>
                <c:formatCode>0.0</c:formatCode>
                <c:ptCount val="3"/>
                <c:pt idx="2">
                  <c:v>0.27325344606279572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5E-480E-8967-DBDD67B4E8EF}"/>
            </c:ext>
          </c:extLst>
        </c:ser>
        <c:ser>
          <c:idx val="10"/>
          <c:order val="10"/>
          <c:tx>
            <c:v>160 min</c:v>
          </c:tx>
          <c:invertIfNegative val="0"/>
          <c:val>
            <c:numRef>
              <c:f>Sheet1!$L$310:$L$312</c:f>
              <c:numCache>
                <c:formatCode>0.0</c:formatCode>
                <c:ptCount val="3"/>
                <c:pt idx="2">
                  <c:v>0.29638010005058507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5E-480E-8967-DBDD67B4E8EF}"/>
            </c:ext>
          </c:extLst>
        </c:ser>
        <c:ser>
          <c:idx val="11"/>
          <c:order val="11"/>
          <c:tx>
            <c:v>250 min</c:v>
          </c:tx>
          <c:invertIfNegative val="0"/>
          <c:val>
            <c:numRef>
              <c:f>Sheet1!$M$310:$M$312</c:f>
              <c:numCache>
                <c:formatCode>0.0</c:formatCode>
                <c:ptCount val="3"/>
                <c:pt idx="2">
                  <c:v>0.3855437681367726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5E-480E-8967-DBDD67B4E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477312"/>
        <c:axId val="116491776"/>
      </c:barChart>
      <c:catAx>
        <c:axId val="11647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[NH</a:t>
                </a:r>
                <a:r>
                  <a:rPr lang="en-US" sz="1000" b="1" i="0" baseline="-25000">
                    <a:effectLst/>
                  </a:rPr>
                  <a:t>3</a:t>
                </a:r>
                <a:r>
                  <a:rPr lang="en-US" sz="1000" b="1" i="0" baseline="0">
                    <a:effectLst/>
                  </a:rPr>
                  <a:t>] (mol/L)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491776"/>
        <c:crosses val="autoZero"/>
        <c:auto val="1"/>
        <c:lblAlgn val="ctr"/>
        <c:lblOffset val="100"/>
        <c:noMultiLvlLbl val="0"/>
      </c:catAx>
      <c:valAx>
        <c:axId val="116491776"/>
        <c:scaling>
          <c:orientation val="minMax"/>
          <c:max val="0.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mol CO</a:t>
                </a:r>
                <a:r>
                  <a:rPr lang="en-GB" baseline="-25000"/>
                  <a:t>2</a:t>
                </a:r>
                <a:r>
                  <a:rPr lang="en-GB"/>
                  <a:t> absorbed/L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16477312"/>
        <c:crosses val="autoZero"/>
        <c:crossBetween val="between"/>
        <c:majorUnit val="0.1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Qg=60ml/min; VOL liq=100ml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0 hour</c:v>
          </c:tx>
          <c:invertIfNegative val="0"/>
          <c:cat>
            <c:numRef>
              <c:f>Sheet1!$A$317:$A$318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Sheet1!$B$317:$B$318</c:f>
              <c:numCache>
                <c:formatCode>General</c:formatCode>
                <c:ptCount val="2"/>
                <c:pt idx="0">
                  <c:v>8.5412287876153407E-3</c:v>
                </c:pt>
                <c:pt idx="1">
                  <c:v>1.3943640006324261E-2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0-4203-8E4B-26B984320846}"/>
            </c:ext>
          </c:extLst>
        </c:ser>
        <c:ser>
          <c:idx val="1"/>
          <c:order val="1"/>
          <c:tx>
            <c:v>10 hours</c:v>
          </c:tx>
          <c:invertIfNegative val="0"/>
          <c:cat>
            <c:numRef>
              <c:f>Sheet1!$A$317:$A$318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Sheet1!$C$317:$C$318</c:f>
              <c:numCache>
                <c:formatCode>General</c:formatCode>
                <c:ptCount val="2"/>
                <c:pt idx="0">
                  <c:v>1.1599999999999999</c:v>
                </c:pt>
                <c:pt idx="1">
                  <c:v>1.6239999999999999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0-4203-8E4B-26B984320846}"/>
            </c:ext>
          </c:extLst>
        </c:ser>
        <c:ser>
          <c:idx val="2"/>
          <c:order val="2"/>
          <c:tx>
            <c:v>20 hours</c:v>
          </c:tx>
          <c:invertIfNegative val="0"/>
          <c:cat>
            <c:numRef>
              <c:f>Sheet1!$A$317:$A$318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Sheet1!$D$317:$D$318</c:f>
              <c:numCache>
                <c:formatCode>General</c:formatCode>
                <c:ptCount val="2"/>
                <c:pt idx="0">
                  <c:v>1.5912085908052271</c:v>
                </c:pt>
                <c:pt idx="1">
                  <c:v>2.5176883273751121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0-4203-8E4B-26B984320846}"/>
            </c:ext>
          </c:extLst>
        </c:ser>
        <c:ser>
          <c:idx val="3"/>
          <c:order val="3"/>
          <c:tx>
            <c:v>40 hours</c:v>
          </c:tx>
          <c:invertIfNegative val="0"/>
          <c:cat>
            <c:numRef>
              <c:f>Sheet1!$A$317:$A$318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Sheet1!$E$317:$E$318</c:f>
              <c:numCache>
                <c:formatCode>General</c:formatCode>
                <c:ptCount val="2"/>
                <c:pt idx="0">
                  <c:v>2.3844817290998086</c:v>
                </c:pt>
                <c:pt idx="1">
                  <c:v>3.8239007706955568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A0-4203-8E4B-26B984320846}"/>
            </c:ext>
          </c:extLst>
        </c:ser>
        <c:ser>
          <c:idx val="4"/>
          <c:order val="4"/>
          <c:tx>
            <c:v>60 hours</c:v>
          </c:tx>
          <c:invertIfNegative val="0"/>
          <c:val>
            <c:numRef>
              <c:f>Sheet1!$F$317:$F$318</c:f>
              <c:numCache>
                <c:formatCode>General</c:formatCode>
                <c:ptCount val="2"/>
                <c:pt idx="0">
                  <c:v>2.6598425922531188</c:v>
                </c:pt>
                <c:pt idx="1">
                  <c:v>4.8355367152858344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A0-4203-8E4B-26B984320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01984"/>
        <c:axId val="116603904"/>
      </c:barChart>
      <c:catAx>
        <c:axId val="11660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u="none" strike="noStrike" baseline="0">
                    <a:effectLst/>
                  </a:rPr>
                  <a:t>[NH</a:t>
                </a:r>
                <a:r>
                  <a:rPr lang="en-US" sz="1000" b="1" i="0" u="none" strike="noStrike" baseline="-25000">
                    <a:effectLst/>
                  </a:rPr>
                  <a:t>3</a:t>
                </a:r>
                <a:r>
                  <a:rPr lang="en-US" sz="1000" b="1" i="0" u="none" strike="noStrike" baseline="0">
                    <a:effectLst/>
                  </a:rPr>
                  <a:t>] (mol/L)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603904"/>
        <c:crosses val="autoZero"/>
        <c:auto val="1"/>
        <c:lblAlgn val="ctr"/>
        <c:lblOffset val="100"/>
        <c:noMultiLvlLbl val="0"/>
      </c:catAx>
      <c:valAx>
        <c:axId val="116603904"/>
        <c:scaling>
          <c:orientation val="minMax"/>
          <c:max val="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1" i="0" baseline="0">
                    <a:effectLst/>
                  </a:rPr>
                  <a:t>mol CO</a:t>
                </a:r>
                <a:r>
                  <a:rPr lang="en-GB" sz="1000" b="1" i="0" baseline="-25000">
                    <a:effectLst/>
                  </a:rPr>
                  <a:t>2</a:t>
                </a:r>
                <a:r>
                  <a:rPr lang="en-GB" sz="1000" b="1" i="0" baseline="0">
                    <a:effectLst/>
                  </a:rPr>
                  <a:t> absorbed/L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601984"/>
        <c:crosses val="autoZero"/>
        <c:crossBetween val="between"/>
        <c:majorUnit val="1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Qg=50ml/min (Qg=60ml/min at 2.3 and 3M); VOL liq=100ml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1 min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Sheet1!$X$302:$AB$302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94-4036-9DC8-B4B9AEA51A02}"/>
            </c:ext>
          </c:extLst>
        </c:ser>
        <c:ser>
          <c:idx val="0"/>
          <c:order val="1"/>
          <c:tx>
            <c:v>10 min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Sheet1!$X$303:$AB$303</c:f>
              <c:numCache>
                <c:formatCode>General</c:formatCode>
                <c:ptCount val="5"/>
                <c:pt idx="0">
                  <c:v>0.31407282527103636</c:v>
                </c:pt>
                <c:pt idx="1">
                  <c:v>0.69202834799609036</c:v>
                </c:pt>
                <c:pt idx="2">
                  <c:v>0.98116786372253129</c:v>
                </c:pt>
                <c:pt idx="3">
                  <c:v>0.94640519911850829</c:v>
                </c:pt>
                <c:pt idx="4">
                  <c:v>0.93293140565311627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94-4036-9DC8-B4B9AEA51A02}"/>
            </c:ext>
          </c:extLst>
        </c:ser>
        <c:ser>
          <c:idx val="2"/>
          <c:order val="2"/>
          <c:tx>
            <c:v>20 min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Sheet1!$X$304:$AB$304</c:f>
              <c:numCache>
                <c:formatCode>General</c:formatCode>
                <c:ptCount val="5"/>
                <c:pt idx="0">
                  <c:v>0.22269578787000288</c:v>
                </c:pt>
                <c:pt idx="1">
                  <c:v>0.45069721606307506</c:v>
                </c:pt>
                <c:pt idx="2">
                  <c:v>0.85516448314099114</c:v>
                </c:pt>
                <c:pt idx="3">
                  <c:v>0.85218966632524729</c:v>
                </c:pt>
                <c:pt idx="4">
                  <c:v>0.81608072327942605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94-4036-9DC8-B4B9AEA51A02}"/>
            </c:ext>
          </c:extLst>
        </c:ser>
        <c:ser>
          <c:idx val="3"/>
          <c:order val="3"/>
          <c:tx>
            <c:v>40 min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Sheet1!$X$305:$AB$305</c:f>
              <c:numCache>
                <c:formatCode>General</c:formatCode>
                <c:ptCount val="5"/>
                <c:pt idx="1">
                  <c:v>0.35306243511790364</c:v>
                </c:pt>
                <c:pt idx="2">
                  <c:v>0.77034128236058264</c:v>
                </c:pt>
                <c:pt idx="3">
                  <c:v>0.67352184672925874</c:v>
                </c:pt>
                <c:pt idx="4">
                  <c:v>0.62834723698162298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B94-4036-9DC8-B4B9AEA51A02}"/>
            </c:ext>
          </c:extLst>
        </c:ser>
        <c:ser>
          <c:idx val="4"/>
          <c:order val="4"/>
          <c:tx>
            <c:v>70 min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Sheet1!$X$306:$AB$306</c:f>
              <c:numCache>
                <c:formatCode>General</c:formatCode>
                <c:ptCount val="5"/>
                <c:pt idx="2">
                  <c:v>0.56981376518218585</c:v>
                </c:pt>
                <c:pt idx="3">
                  <c:v>0.59709485194038692</c:v>
                </c:pt>
                <c:pt idx="4">
                  <c:v>0.44450409227013632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B94-4036-9DC8-B4B9AEA51A02}"/>
            </c:ext>
          </c:extLst>
        </c:ser>
        <c:ser>
          <c:idx val="5"/>
          <c:order val="5"/>
          <c:tx>
            <c:v>100 min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Sheet1!$X$307:$AB$307</c:f>
              <c:numCache>
                <c:formatCode>General</c:formatCode>
                <c:ptCount val="5"/>
                <c:pt idx="2">
                  <c:v>0.43549310804802061</c:v>
                </c:pt>
                <c:pt idx="3">
                  <c:v>0.46353722670820963</c:v>
                </c:pt>
                <c:pt idx="4">
                  <c:v>0.33112903752169248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B94-4036-9DC8-B4B9AEA51A02}"/>
            </c:ext>
          </c:extLst>
        </c:ser>
        <c:ser>
          <c:idx val="6"/>
          <c:order val="6"/>
          <c:tx>
            <c:v>2 hours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Sheet1!$X$308:$AB$308</c:f>
              <c:numCache>
                <c:formatCode>General</c:formatCode>
                <c:ptCount val="5"/>
                <c:pt idx="2">
                  <c:v>0.39924568836903945</c:v>
                </c:pt>
                <c:pt idx="3">
                  <c:v>0.4</c:v>
                </c:pt>
                <c:pt idx="4">
                  <c:v>0.32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B94-4036-9DC8-B4B9AEA51A02}"/>
            </c:ext>
          </c:extLst>
        </c:ser>
        <c:ser>
          <c:idx val="7"/>
          <c:order val="7"/>
          <c:tx>
            <c:v>4 hours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Sheet1!$X$309:$AB$309</c:f>
              <c:numCache>
                <c:formatCode>General</c:formatCode>
                <c:ptCount val="5"/>
                <c:pt idx="2">
                  <c:v>0.28310616907844594</c:v>
                </c:pt>
                <c:pt idx="3">
                  <c:v>0.3</c:v>
                </c:pt>
                <c:pt idx="4">
                  <c:v>0.2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B94-4036-9DC8-B4B9AEA51A02}"/>
            </c:ext>
          </c:extLst>
        </c:ser>
        <c:ser>
          <c:idx val="8"/>
          <c:order val="8"/>
          <c:tx>
            <c:v>19 hours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Sheet1!$X$310:$AB$310</c:f>
              <c:numCache>
                <c:formatCode>General</c:formatCode>
                <c:ptCount val="5"/>
                <c:pt idx="3">
                  <c:v>8.933190547981347E-2</c:v>
                </c:pt>
                <c:pt idx="4">
                  <c:v>0.11106931433162213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B94-4036-9DC8-B4B9AEA51A02}"/>
            </c:ext>
          </c:extLst>
        </c:ser>
        <c:ser>
          <c:idx val="9"/>
          <c:order val="9"/>
          <c:tx>
            <c:v>25 hours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Sheet1!$X$311:$AB$311</c:f>
              <c:numCache>
                <c:formatCode>General</c:formatCode>
                <c:ptCount val="5"/>
                <c:pt idx="3">
                  <c:v>7.8321576126456918E-2</c:v>
                </c:pt>
                <c:pt idx="4">
                  <c:v>7.1555337919435802E-2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B94-4036-9DC8-B4B9AEA51A02}"/>
            </c:ext>
          </c:extLst>
        </c:ser>
        <c:ser>
          <c:idx val="10"/>
          <c:order val="10"/>
          <c:tx>
            <c:v>50 hours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Sheet1!$X$312:$AB$312</c:f>
              <c:numCache>
                <c:formatCode>General</c:formatCode>
                <c:ptCount val="5"/>
                <c:pt idx="3">
                  <c:v>5.6041935481342862E-2</c:v>
                </c:pt>
                <c:pt idx="4">
                  <c:v>5.1094254515345439E-2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B94-4036-9DC8-B4B9AEA51A02}"/>
            </c:ext>
          </c:extLst>
        </c:ser>
        <c:ser>
          <c:idx val="11"/>
          <c:order val="11"/>
          <c:tx>
            <c:v>60 hours</c:v>
          </c:tx>
          <c:xVal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xVal>
          <c:yVal>
            <c:numRef>
              <c:f>Sheet1!$X$313:$AB$313</c:f>
              <c:numCache>
                <c:formatCode>General</c:formatCode>
                <c:ptCount val="5"/>
                <c:pt idx="3">
                  <c:v>9.4518807264948844E-3</c:v>
                </c:pt>
                <c:pt idx="4">
                  <c:v>1.8647211193208533E-2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B94-4036-9DC8-B4B9AEA51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66752"/>
        <c:axId val="116668672"/>
      </c:scatterChart>
      <c:valAx>
        <c:axId val="116666752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[NH</a:t>
                </a:r>
                <a:r>
                  <a:rPr lang="en-US" sz="1000" b="1" i="0" baseline="-25000">
                    <a:effectLst/>
                  </a:rPr>
                  <a:t>3</a:t>
                </a:r>
                <a:r>
                  <a:rPr lang="en-US" sz="1000" b="1" i="0" baseline="0">
                    <a:effectLst/>
                  </a:rPr>
                  <a:t>] (mol/L)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668672"/>
        <c:crosses val="autoZero"/>
        <c:crossBetween val="midCat"/>
      </c:valAx>
      <c:valAx>
        <c:axId val="11666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J</a:t>
                </a:r>
                <a:r>
                  <a:rPr lang="en-US" sz="1000" b="1" i="0" baseline="-25000">
                    <a:effectLst/>
                  </a:rPr>
                  <a:t>CO2</a:t>
                </a:r>
                <a:r>
                  <a:rPr lang="en-US" sz="1000" b="1" i="0" baseline="0">
                    <a:effectLst/>
                  </a:rPr>
                  <a:t> (t)/J</a:t>
                </a:r>
                <a:r>
                  <a:rPr lang="en-US" sz="1000" b="1" i="0" baseline="-25000">
                    <a:effectLst/>
                  </a:rPr>
                  <a:t>CO2</a:t>
                </a:r>
                <a:r>
                  <a:rPr lang="en-US" sz="1000" b="1" i="0" baseline="0">
                    <a:effectLst/>
                  </a:rPr>
                  <a:t> (t</a:t>
                </a:r>
                <a:r>
                  <a:rPr lang="en-US" sz="1000" b="1" i="0" baseline="-25000">
                    <a:effectLst/>
                  </a:rPr>
                  <a:t>0</a:t>
                </a:r>
                <a:r>
                  <a:rPr lang="en-US" sz="1000" b="1" i="0" baseline="0">
                    <a:effectLst/>
                  </a:rPr>
                  <a:t>) (-)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666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7534637563962603"/>
          <c:y val="5.661745406824148E-2"/>
          <c:w val="0.11407509619583342"/>
          <c:h val="0.869195465150189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 b="1" i="0" baseline="0">
                <a:effectLst/>
              </a:rPr>
              <a:t>Recirculations; Ql=4.55ml/min; Qg=50ml/min (Qg=60ml/min at 2.3 and 3M); VOL liq=100ml</a:t>
            </a:r>
            <a:endParaRPr lang="en-GB" sz="1000">
              <a:effectLst/>
            </a:endParaRPr>
          </a:p>
        </c:rich>
      </c:tx>
      <c:layout>
        <c:manualLayout>
          <c:xMode val="edge"/>
          <c:yMode val="edge"/>
          <c:x val="0.23723759777552558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cat>
            <c:numRef>
              <c:f>Sheet1!$X$301:$AB$301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Sheet1!$X$302:$AB$302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C-46AA-8422-445D693A2E8F}"/>
            </c:ext>
          </c:extLst>
        </c:ser>
        <c:ser>
          <c:idx val="1"/>
          <c:order val="1"/>
          <c:tx>
            <c:v>10 min</c:v>
          </c:tx>
          <c:invertIfNegative val="0"/>
          <c:val>
            <c:numRef>
              <c:f>Sheet1!$X$303:$AB$303</c:f>
              <c:numCache>
                <c:formatCode>General</c:formatCode>
                <c:ptCount val="5"/>
                <c:pt idx="0">
                  <c:v>0.31407282527103636</c:v>
                </c:pt>
                <c:pt idx="1">
                  <c:v>0.69202834799609036</c:v>
                </c:pt>
                <c:pt idx="2">
                  <c:v>0.98116786372253129</c:v>
                </c:pt>
                <c:pt idx="3">
                  <c:v>0.94640519911850829</c:v>
                </c:pt>
                <c:pt idx="4">
                  <c:v>0.93293140565311627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C-46AA-8422-445D693A2E8F}"/>
            </c:ext>
          </c:extLst>
        </c:ser>
        <c:ser>
          <c:idx val="2"/>
          <c:order val="2"/>
          <c:tx>
            <c:v>20 min</c:v>
          </c:tx>
          <c:invertIfNegative val="0"/>
          <c:val>
            <c:numRef>
              <c:f>Sheet1!$X$304:$AB$304</c:f>
              <c:numCache>
                <c:formatCode>General</c:formatCode>
                <c:ptCount val="5"/>
                <c:pt idx="0">
                  <c:v>0.22269578787000288</c:v>
                </c:pt>
                <c:pt idx="1">
                  <c:v>0.45069721606307506</c:v>
                </c:pt>
                <c:pt idx="2">
                  <c:v>0.85516448314099114</c:v>
                </c:pt>
                <c:pt idx="3">
                  <c:v>0.85218966632524729</c:v>
                </c:pt>
                <c:pt idx="4">
                  <c:v>0.81608072327942605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8C-46AA-8422-445D693A2E8F}"/>
            </c:ext>
          </c:extLst>
        </c:ser>
        <c:ser>
          <c:idx val="3"/>
          <c:order val="3"/>
          <c:tx>
            <c:v>40 min</c:v>
          </c:tx>
          <c:invertIfNegative val="0"/>
          <c:val>
            <c:numRef>
              <c:f>Sheet1!$X$305:$AB$305</c:f>
              <c:numCache>
                <c:formatCode>General</c:formatCode>
                <c:ptCount val="5"/>
                <c:pt idx="1">
                  <c:v>0.35306243511790364</c:v>
                </c:pt>
                <c:pt idx="2">
                  <c:v>0.77034128236058264</c:v>
                </c:pt>
                <c:pt idx="3">
                  <c:v>0.67352184672925874</c:v>
                </c:pt>
                <c:pt idx="4">
                  <c:v>0.62834723698162298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8C-46AA-8422-445D693A2E8F}"/>
            </c:ext>
          </c:extLst>
        </c:ser>
        <c:ser>
          <c:idx val="4"/>
          <c:order val="4"/>
          <c:tx>
            <c:v>70 min</c:v>
          </c:tx>
          <c:invertIfNegative val="0"/>
          <c:val>
            <c:numRef>
              <c:f>Sheet1!$X$306:$AB$306</c:f>
              <c:numCache>
                <c:formatCode>General</c:formatCode>
                <c:ptCount val="5"/>
                <c:pt idx="2">
                  <c:v>0.56981376518218585</c:v>
                </c:pt>
                <c:pt idx="3">
                  <c:v>0.59709485194038692</c:v>
                </c:pt>
                <c:pt idx="4">
                  <c:v>0.44450409227013632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8C-46AA-8422-445D693A2E8F}"/>
            </c:ext>
          </c:extLst>
        </c:ser>
        <c:ser>
          <c:idx val="5"/>
          <c:order val="5"/>
          <c:tx>
            <c:v>100 min</c:v>
          </c:tx>
          <c:invertIfNegative val="0"/>
          <c:val>
            <c:numRef>
              <c:f>Sheet1!$X$307:$AB$307</c:f>
              <c:numCache>
                <c:formatCode>General</c:formatCode>
                <c:ptCount val="5"/>
                <c:pt idx="2">
                  <c:v>0.43549310804802061</c:v>
                </c:pt>
                <c:pt idx="3">
                  <c:v>0.46353722670820963</c:v>
                </c:pt>
                <c:pt idx="4">
                  <c:v>0.33112903752169248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8C-46AA-8422-445D693A2E8F}"/>
            </c:ext>
          </c:extLst>
        </c:ser>
        <c:ser>
          <c:idx val="6"/>
          <c:order val="6"/>
          <c:tx>
            <c:v>2 hours</c:v>
          </c:tx>
          <c:invertIfNegative val="0"/>
          <c:val>
            <c:numRef>
              <c:f>Sheet1!$X$308:$AB$308</c:f>
              <c:numCache>
                <c:formatCode>General</c:formatCode>
                <c:ptCount val="5"/>
                <c:pt idx="2">
                  <c:v>0.39924568836903945</c:v>
                </c:pt>
                <c:pt idx="3">
                  <c:v>0.4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8C-46AA-8422-445D693A2E8F}"/>
            </c:ext>
          </c:extLst>
        </c:ser>
        <c:ser>
          <c:idx val="7"/>
          <c:order val="7"/>
          <c:tx>
            <c:v>4 hours</c:v>
          </c:tx>
          <c:invertIfNegative val="0"/>
          <c:val>
            <c:numRef>
              <c:f>Sheet1!$X$309:$AB$309</c:f>
              <c:numCache>
                <c:formatCode>General</c:formatCode>
                <c:ptCount val="5"/>
                <c:pt idx="2">
                  <c:v>0.28310616907844594</c:v>
                </c:pt>
                <c:pt idx="3">
                  <c:v>0.3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8C-46AA-8422-445D693A2E8F}"/>
            </c:ext>
          </c:extLst>
        </c:ser>
        <c:ser>
          <c:idx val="8"/>
          <c:order val="8"/>
          <c:tx>
            <c:v>19 hours</c:v>
          </c:tx>
          <c:invertIfNegative val="0"/>
          <c:val>
            <c:numRef>
              <c:f>Sheet1!$X$310:$AB$310</c:f>
              <c:numCache>
                <c:formatCode>General</c:formatCode>
                <c:ptCount val="5"/>
                <c:pt idx="3">
                  <c:v>8.933190547981347E-2</c:v>
                </c:pt>
                <c:pt idx="4">
                  <c:v>0.11106931433162213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8C-46AA-8422-445D693A2E8F}"/>
            </c:ext>
          </c:extLst>
        </c:ser>
        <c:ser>
          <c:idx val="9"/>
          <c:order val="9"/>
          <c:tx>
            <c:v>25 hours</c:v>
          </c:tx>
          <c:invertIfNegative val="0"/>
          <c:val>
            <c:numRef>
              <c:f>Sheet1!$X$311:$AB$311</c:f>
              <c:numCache>
                <c:formatCode>General</c:formatCode>
                <c:ptCount val="5"/>
                <c:pt idx="3">
                  <c:v>7.8321576126456918E-2</c:v>
                </c:pt>
                <c:pt idx="4">
                  <c:v>7.1555337919435802E-2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8C-46AA-8422-445D693A2E8F}"/>
            </c:ext>
          </c:extLst>
        </c:ser>
        <c:ser>
          <c:idx val="10"/>
          <c:order val="10"/>
          <c:tx>
            <c:v>50 hours</c:v>
          </c:tx>
          <c:invertIfNegative val="0"/>
          <c:val>
            <c:numRef>
              <c:f>Sheet1!$X$312:$AB$312</c:f>
              <c:numCache>
                <c:formatCode>General</c:formatCode>
                <c:ptCount val="5"/>
                <c:pt idx="3">
                  <c:v>5.6041935481342862E-2</c:v>
                </c:pt>
                <c:pt idx="4">
                  <c:v>5.1094254515345439E-2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8C-46AA-8422-445D693A2E8F}"/>
            </c:ext>
          </c:extLst>
        </c:ser>
        <c:ser>
          <c:idx val="11"/>
          <c:order val="11"/>
          <c:tx>
            <c:v>60 hours</c:v>
          </c:tx>
          <c:invertIfNegative val="0"/>
          <c:val>
            <c:numRef>
              <c:f>Sheet1!$X$313:$AB$313</c:f>
              <c:numCache>
                <c:formatCode>General</c:formatCode>
                <c:ptCount val="5"/>
                <c:pt idx="3">
                  <c:v>9.4518807264948844E-3</c:v>
                </c:pt>
                <c:pt idx="4">
                  <c:v>1.8647211193208533E-2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8C-46AA-8422-445D693A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718976"/>
        <c:axId val="116741632"/>
      </c:barChart>
      <c:catAx>
        <c:axId val="11671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[NH</a:t>
                </a:r>
                <a:r>
                  <a:rPr lang="en-US" sz="1000" b="1" i="0" baseline="-25000">
                    <a:effectLst/>
                  </a:rPr>
                  <a:t>3</a:t>
                </a:r>
                <a:r>
                  <a:rPr lang="en-US" sz="1000" b="1" i="0" baseline="0">
                    <a:effectLst/>
                  </a:rPr>
                  <a:t>] (mol/L)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741632"/>
        <c:crosses val="autoZero"/>
        <c:auto val="1"/>
        <c:lblAlgn val="ctr"/>
        <c:lblOffset val="100"/>
        <c:noMultiLvlLbl val="0"/>
      </c:catAx>
      <c:valAx>
        <c:axId val="116741632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J</a:t>
                </a:r>
                <a:r>
                  <a:rPr lang="en-US" sz="1000" b="1" i="0" baseline="-25000">
                    <a:effectLst/>
                  </a:rPr>
                  <a:t>CO2</a:t>
                </a:r>
                <a:r>
                  <a:rPr lang="en-US" sz="1000" b="1" i="0" baseline="0">
                    <a:effectLst/>
                  </a:rPr>
                  <a:t> (t)/J</a:t>
                </a:r>
                <a:r>
                  <a:rPr lang="en-US" sz="1000" b="1" i="0" baseline="-25000">
                    <a:effectLst/>
                  </a:rPr>
                  <a:t>CO2</a:t>
                </a:r>
                <a:r>
                  <a:rPr lang="en-US" sz="1000" b="1" i="0" baseline="0">
                    <a:effectLst/>
                  </a:rPr>
                  <a:t> (t</a:t>
                </a:r>
                <a:r>
                  <a:rPr lang="en-US" sz="1000" b="1" i="0" baseline="-25000">
                    <a:effectLst/>
                  </a:rPr>
                  <a:t>0</a:t>
                </a:r>
                <a:r>
                  <a:rPr lang="en-US" sz="1000" b="1" i="0" baseline="0">
                    <a:effectLst/>
                  </a:rPr>
                  <a:t>) (-)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718976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2268693641017641"/>
          <c:y val="4.2728565179352598E-2"/>
          <c:w val="6.9392271510615625E-2"/>
          <c:h val="0.8830843540390784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Qg=50ml/min; VOL liq=100ml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77E-2"/>
          <c:y val="0.10702295599707133"/>
          <c:w val="0.78813719181362629"/>
          <c:h val="0.71952231368613961"/>
        </c:manualLayout>
      </c:layout>
      <c:scatterChart>
        <c:scatterStyle val="lineMarker"/>
        <c:varyColors val="0"/>
        <c:ser>
          <c:idx val="0"/>
          <c:order val="0"/>
          <c:tx>
            <c:v>NH3 0.006M</c:v>
          </c:tx>
          <c:spPr>
            <a:ln w="28575">
              <a:noFill/>
            </a:ln>
          </c:spPr>
          <c:xVal>
            <c:numRef>
              <c:f>Sheet1!$A$18:$A$20</c:f>
              <c:numCache>
                <c:formatCode>General</c:formatCode>
                <c:ptCount val="3"/>
                <c:pt idx="0">
                  <c:v>1</c:v>
                </c:pt>
                <c:pt idx="1">
                  <c:v>10</c:v>
                </c:pt>
                <c:pt idx="2">
                  <c:v>20</c:v>
                </c:pt>
              </c:numCache>
            </c:numRef>
          </c:xVal>
          <c:yVal>
            <c:numRef>
              <c:f>Sheet1!$E$18:$E$20</c:f>
              <c:numCache>
                <c:formatCode>General</c:formatCode>
                <c:ptCount val="3"/>
                <c:pt idx="0">
                  <c:v>0.63468029017858363</c:v>
                </c:pt>
                <c:pt idx="1">
                  <c:v>0.19933583188022896</c:v>
                </c:pt>
                <c:pt idx="2">
                  <c:v>0.14134062726688174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4F-48B0-8DC7-7852F8D9D1EE}"/>
            </c:ext>
          </c:extLst>
        </c:ser>
        <c:ser>
          <c:idx val="1"/>
          <c:order val="1"/>
          <c:tx>
            <c:v>NH3 0.06M</c:v>
          </c:tx>
          <c:spPr>
            <a:ln w="28575">
              <a:noFill/>
            </a:ln>
          </c:spPr>
          <c:xVal>
            <c:numRef>
              <c:f>Sheet1!$K$18:$K$21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</c:numCache>
            </c:numRef>
          </c:xVal>
          <c:yVal>
            <c:numRef>
              <c:f>Sheet1!$O$18:$O$21</c:f>
              <c:numCache>
                <c:formatCode>General</c:formatCode>
                <c:ptCount val="4"/>
                <c:pt idx="0">
                  <c:v>0.78235812162050367</c:v>
                </c:pt>
                <c:pt idx="1">
                  <c:v>0.54141399844636151</c:v>
                </c:pt>
                <c:pt idx="2">
                  <c:v>0.35260662737869769</c:v>
                </c:pt>
                <c:pt idx="3">
                  <c:v>0.27622126355360405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4F-48B0-8DC7-7852F8D9D1EE}"/>
            </c:ext>
          </c:extLst>
        </c:ser>
        <c:ser>
          <c:idx val="2"/>
          <c:order val="2"/>
          <c:tx>
            <c:v>NH3 0.6M</c:v>
          </c:tx>
          <c:spPr>
            <a:ln w="28575">
              <a:noFill/>
            </a:ln>
          </c:spPr>
          <c:xVal>
            <c:numRef>
              <c:f>Sheet1!$R$36:$R$47</c:f>
              <c:numCache>
                <c:formatCode>General</c:formatCode>
                <c:ptCount val="12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60</c:v>
                </c:pt>
                <c:pt idx="6">
                  <c:v>80</c:v>
                </c:pt>
                <c:pt idx="7">
                  <c:v>100</c:v>
                </c:pt>
                <c:pt idx="8">
                  <c:v>120</c:v>
                </c:pt>
                <c:pt idx="9">
                  <c:v>140</c:v>
                </c:pt>
                <c:pt idx="10">
                  <c:v>160</c:v>
                </c:pt>
                <c:pt idx="11">
                  <c:v>250</c:v>
                </c:pt>
              </c:numCache>
            </c:numRef>
          </c:xVal>
          <c:yVal>
            <c:numRef>
              <c:f>Sheet1!$V$36:$V$47</c:f>
              <c:numCache>
                <c:formatCode>General</c:formatCode>
                <c:ptCount val="12"/>
                <c:pt idx="0">
                  <c:v>4.037637148385012</c:v>
                </c:pt>
                <c:pt idx="1">
                  <c:v>3.9615998153676553</c:v>
                </c:pt>
                <c:pt idx="2">
                  <c:v>3.4528438851095342</c:v>
                </c:pt>
                <c:pt idx="3">
                  <c:v>3.1103585785936363</c:v>
                </c:pt>
                <c:pt idx="4">
                  <c:v>2.7127211116033672</c:v>
                </c:pt>
                <c:pt idx="5">
                  <c:v>2.3007012259607276</c:v>
                </c:pt>
                <c:pt idx="6">
                  <c:v>1.9768494464371011</c:v>
                </c:pt>
                <c:pt idx="7">
                  <c:v>1.7583631509203359</c:v>
                </c:pt>
                <c:pt idx="8">
                  <c:v>1.6120092226913796</c:v>
                </c:pt>
                <c:pt idx="9">
                  <c:v>1.4935289719491682</c:v>
                </c:pt>
                <c:pt idx="10">
                  <c:v>1.3341787231908002</c:v>
                </c:pt>
                <c:pt idx="11">
                  <c:v>1.1430799852081015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4F-48B0-8DC7-7852F8D9D1EE}"/>
            </c:ext>
          </c:extLst>
        </c:ser>
        <c:ser>
          <c:idx val="3"/>
          <c:order val="3"/>
          <c:tx>
            <c:v>NH3 3M</c:v>
          </c:tx>
          <c:spPr>
            <a:ln w="28575">
              <a:noFill/>
            </a:ln>
          </c:spPr>
          <c:xVal>
            <c:numRef>
              <c:f>Sheet1!$AD$36:$AD$46</c:f>
              <c:numCache>
                <c:formatCode>General</c:formatCode>
                <c:ptCount val="11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80</c:v>
                </c:pt>
                <c:pt idx="8">
                  <c:v>110</c:v>
                </c:pt>
                <c:pt idx="9">
                  <c:v>140</c:v>
                </c:pt>
                <c:pt idx="10">
                  <c:v>180</c:v>
                </c:pt>
              </c:numCache>
            </c:numRef>
          </c:xVal>
          <c:yVal>
            <c:numRef>
              <c:f>Sheet1!$AH$36:$AH$46</c:f>
              <c:numCache>
                <c:formatCode>General</c:formatCode>
                <c:ptCount val="11"/>
                <c:pt idx="0">
                  <c:v>16.293563853584732</c:v>
                </c:pt>
                <c:pt idx="1">
                  <c:v>14.579320823243897</c:v>
                </c:pt>
                <c:pt idx="2">
                  <c:v>13.098115516928488</c:v>
                </c:pt>
                <c:pt idx="3">
                  <c:v>10.994354575141212</c:v>
                </c:pt>
                <c:pt idx="4">
                  <c:v>9.7499946917888742</c:v>
                </c:pt>
                <c:pt idx="5">
                  <c:v>8.6173732469416446</c:v>
                </c:pt>
                <c:pt idx="6">
                  <c:v>8.147637842549555</c:v>
                </c:pt>
                <c:pt idx="7">
                  <c:v>6.82775075045706</c:v>
                </c:pt>
                <c:pt idx="8">
                  <c:v>6.5078230332005074</c:v>
                </c:pt>
                <c:pt idx="9">
                  <c:v>7.1718656764934581</c:v>
                </c:pt>
                <c:pt idx="10">
                  <c:v>6.746320419101048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4F-48B0-8DC7-7852F8D9D1EE}"/>
            </c:ext>
          </c:extLst>
        </c:ser>
        <c:ser>
          <c:idx val="4"/>
          <c:order val="4"/>
          <c:tx>
            <c:v>NH3 3M (Qgin 60ml/min)</c:v>
          </c:tx>
          <c:spPr>
            <a:ln w="28575">
              <a:noFill/>
            </a:ln>
          </c:spPr>
          <c:xVal>
            <c:numRef>
              <c:f>Sheet1!$AT$35:$AT$42</c:f>
              <c:numCache>
                <c:formatCode>General</c:formatCode>
                <c:ptCount val="8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130</c:v>
                </c:pt>
                <c:pt idx="7">
                  <c:v>1140</c:v>
                </c:pt>
              </c:numCache>
            </c:numRef>
          </c:xVal>
          <c:yVal>
            <c:numRef>
              <c:f>Sheet1!$AX$35:$AX$42</c:f>
              <c:numCache>
                <c:formatCode>General</c:formatCode>
                <c:ptCount val="8"/>
                <c:pt idx="0">
                  <c:v>18.900163772979692</c:v>
                </c:pt>
                <c:pt idx="1">
                  <c:v>17.641467016794451</c:v>
                </c:pt>
                <c:pt idx="2">
                  <c:v>14.603194294466688</c:v>
                </c:pt>
                <c:pt idx="3">
                  <c:v>11.041130237871501</c:v>
                </c:pt>
                <c:pt idx="4">
                  <c:v>7.8168149707527643</c:v>
                </c:pt>
                <c:pt idx="5">
                  <c:v>6.07040886481815</c:v>
                </c:pt>
                <c:pt idx="6">
                  <c:v>5.2414528537374485</c:v>
                </c:pt>
                <c:pt idx="7">
                  <c:v>2.272522817232034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4F-48B0-8DC7-7852F8D9D1EE}"/>
            </c:ext>
          </c:extLst>
        </c:ser>
        <c:ser>
          <c:idx val="5"/>
          <c:order val="5"/>
          <c:tx>
            <c:v>NH3 3M (Qgin 60ml/min) upside down</c:v>
          </c:tx>
          <c:spPr>
            <a:ln w="28575">
              <a:noFill/>
            </a:ln>
          </c:spPr>
          <c:xVal>
            <c:numRef>
              <c:f>Sheet1!$CC$35:$CC$46</c:f>
              <c:numCache>
                <c:formatCode>General</c:formatCode>
                <c:ptCount val="12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280</c:v>
                </c:pt>
                <c:pt idx="7">
                  <c:v>1120</c:v>
                </c:pt>
                <c:pt idx="8">
                  <c:v>1420</c:v>
                </c:pt>
                <c:pt idx="9">
                  <c:v>1540</c:v>
                </c:pt>
                <c:pt idx="10">
                  <c:v>2455</c:v>
                </c:pt>
                <c:pt idx="11">
                  <c:v>2965</c:v>
                </c:pt>
              </c:numCache>
            </c:numRef>
          </c:xVal>
          <c:yVal>
            <c:numRef>
              <c:f>Sheet1!$CG$35:$CG$46</c:f>
              <c:numCache>
                <c:formatCode>General</c:formatCode>
                <c:ptCount val="12"/>
                <c:pt idx="0">
                  <c:v>16.088196615119717</c:v>
                </c:pt>
                <c:pt idx="1">
                  <c:v>15.009183882567346</c:v>
                </c:pt>
                <c:pt idx="2">
                  <c:v>13.129267129928513</c:v>
                </c:pt>
                <c:pt idx="3">
                  <c:v>10.108973891127574</c:v>
                </c:pt>
                <c:pt idx="4">
                  <c:v>7.1512692326672695</c:v>
                </c:pt>
                <c:pt idx="5">
                  <c:v>5.3272690606243431</c:v>
                </c:pt>
                <c:pt idx="6">
                  <c:v>3.0272996891063269</c:v>
                </c:pt>
                <c:pt idx="7">
                  <c:v>1.7869049668736712</c:v>
                </c:pt>
                <c:pt idx="8">
                  <c:v>1.2150457532090406</c:v>
                </c:pt>
                <c:pt idx="9">
                  <c:v>1.1511963453092147</c:v>
                </c:pt>
                <c:pt idx="10">
                  <c:v>1.0977627875989922</c:v>
                </c:pt>
                <c:pt idx="11">
                  <c:v>0.82201441254584584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4F-48B0-8DC7-7852F8D9D1EE}"/>
            </c:ext>
          </c:extLst>
        </c:ser>
        <c:ser>
          <c:idx val="6"/>
          <c:order val="6"/>
          <c:tx>
            <c:v>NH3 2.3M (Qgin 60ml/min)</c:v>
          </c:tx>
          <c:spPr>
            <a:ln w="28575">
              <a:noFill/>
            </a:ln>
          </c:spPr>
          <c:xVal>
            <c:numRef>
              <c:f>Sheet1!$CI$35:$CI$45</c:f>
              <c:numCache>
                <c:formatCode>0</c:formatCode>
                <c:ptCount val="11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200</c:v>
                </c:pt>
                <c:pt idx="7">
                  <c:v>1150</c:v>
                </c:pt>
                <c:pt idx="8" formatCode="General">
                  <c:v>1440</c:v>
                </c:pt>
                <c:pt idx="9" formatCode="General">
                  <c:v>2860</c:v>
                </c:pt>
                <c:pt idx="10" formatCode="General">
                  <c:v>3050</c:v>
                </c:pt>
              </c:numCache>
            </c:numRef>
          </c:xVal>
          <c:yVal>
            <c:numRef>
              <c:f>Sheet1!$CM$35:$CM$45</c:f>
              <c:numCache>
                <c:formatCode>General</c:formatCode>
                <c:ptCount val="11"/>
                <c:pt idx="0">
                  <c:v>10.019906818635263</c:v>
                </c:pt>
                <c:pt idx="1">
                  <c:v>9.3439702585355473</c:v>
                </c:pt>
                <c:pt idx="2">
                  <c:v>8.3626387599046446</c:v>
                </c:pt>
                <c:pt idx="3">
                  <c:v>6.8615242843153945</c:v>
                </c:pt>
                <c:pt idx="4">
                  <c:v>4.9734972650855935</c:v>
                </c:pt>
                <c:pt idx="5">
                  <c:v>3.8458349440079695</c:v>
                </c:pt>
                <c:pt idx="6">
                  <c:v>2.4057906808384475</c:v>
                </c:pt>
                <c:pt idx="7">
                  <c:v>1.3388390735035474</c:v>
                </c:pt>
                <c:pt idx="8">
                  <c:v>1.2032744690536277</c:v>
                </c:pt>
                <c:pt idx="9">
                  <c:v>0.41633348146643812</c:v>
                </c:pt>
                <c:pt idx="10">
                  <c:v>0.44956093986522588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54F-48B0-8DC7-7852F8D9D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12096"/>
        <c:axId val="113014272"/>
      </c:scatterChart>
      <c:valAx>
        <c:axId val="1130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/>
                  <a:t>Time</a:t>
                </a:r>
                <a:r>
                  <a:rPr lang="en-GB" sz="1500" baseline="0"/>
                  <a:t> measurement (min)</a:t>
                </a:r>
                <a:endParaRPr lang="en-GB" sz="15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014272"/>
        <c:crosses val="autoZero"/>
        <c:crossBetween val="midCat"/>
      </c:valAx>
      <c:valAx>
        <c:axId val="1130142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JCO2 (*10^3molCO2/m2*s)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012096"/>
        <c:crosses val="autoZero"/>
        <c:crossBetween val="midCat"/>
        <c:majorUnit val="2"/>
        <c:minorUnit val="4.0000000000000015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Qg=50ml/min (Qg=60ml/min at 2.3 and 3M); VOL liq=100ml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cat>
            <c:numRef>
              <c:f>Sheet1!$X$325:$Z$325</c:f>
              <c:numCache>
                <c:formatCode>General</c:formatCode>
                <c:ptCount val="3"/>
                <c:pt idx="0">
                  <c:v>0.6</c:v>
                </c:pt>
                <c:pt idx="1">
                  <c:v>2.2999999999999998</c:v>
                </c:pt>
                <c:pt idx="2">
                  <c:v>3</c:v>
                </c:pt>
              </c:numCache>
            </c:numRef>
          </c:cat>
          <c:val>
            <c:numRef>
              <c:f>Sheet1!$X$326:$Z$326</c:f>
              <c:numCache>
                <c:formatCode>0.0</c:formatCode>
                <c:ptCount val="3"/>
                <c:pt idx="0">
                  <c:v>1.5083707398729697E-3</c:v>
                </c:pt>
                <c:pt idx="1">
                  <c:v>3.6815641325928196E-3</c:v>
                </c:pt>
                <c:pt idx="2">
                  <c:v>6.0101896578983885E-3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4-4333-98E7-A6194B777598}"/>
            </c:ext>
          </c:extLst>
        </c:ser>
        <c:ser>
          <c:idx val="1"/>
          <c:order val="1"/>
          <c:tx>
            <c:v>10 min</c:v>
          </c:tx>
          <c:invertIfNegative val="0"/>
          <c:val>
            <c:numRef>
              <c:f>Sheet1!$X$327:$Z$327</c:f>
              <c:numCache>
                <c:formatCode>0.0</c:formatCode>
                <c:ptCount val="3"/>
                <c:pt idx="0">
                  <c:v>1.4828054808757591E-2</c:v>
                </c:pt>
                <c:pt idx="1">
                  <c:v>3.5039827056359406E-2</c:v>
                </c:pt>
                <c:pt idx="2">
                  <c:v>5.6474041829963073E-2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4-4333-98E7-A6194B777598}"/>
            </c:ext>
          </c:extLst>
        </c:ser>
        <c:ser>
          <c:idx val="2"/>
          <c:order val="2"/>
          <c:tx>
            <c:v>20 min</c:v>
          </c:tx>
          <c:invertIfNegative val="0"/>
          <c:val>
            <c:numRef>
              <c:f>Sheet1!$X$328:$Z$328</c:f>
              <c:numCache>
                <c:formatCode>0.0</c:formatCode>
                <c:ptCount val="3"/>
                <c:pt idx="0">
                  <c:v>2.7727105650242216E-2</c:v>
                </c:pt>
                <c:pt idx="1">
                  <c:v>6.6413736153452141E-2</c:v>
                </c:pt>
                <c:pt idx="2">
                  <c:v>0.10552204106060549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E4-4333-98E7-A6194B777598}"/>
            </c:ext>
          </c:extLst>
        </c:ser>
        <c:ser>
          <c:idx val="3"/>
          <c:order val="3"/>
          <c:tx>
            <c:v>40 min</c:v>
          </c:tx>
          <c:invertIfNegative val="0"/>
          <c:val>
            <c:numRef>
              <c:f>Sheet1!$X$329:$Z$329</c:f>
              <c:numCache>
                <c:formatCode>0.0</c:formatCode>
                <c:ptCount val="3"/>
                <c:pt idx="0">
                  <c:v>4.9480826199784216E-2</c:v>
                </c:pt>
                <c:pt idx="1">
                  <c:v>0.11600601362217448</c:v>
                </c:pt>
                <c:pt idx="2">
                  <c:v>0.18105176236612505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E4-4333-98E7-A6194B777598}"/>
            </c:ext>
          </c:extLst>
        </c:ser>
        <c:ser>
          <c:idx val="4"/>
          <c:order val="4"/>
          <c:tx>
            <c:v>70 min</c:v>
          </c:tx>
          <c:invertIfNegative val="0"/>
          <c:val>
            <c:numRef>
              <c:f>Sheet1!$X$330:$Z$330</c:f>
              <c:numCache>
                <c:formatCode>0.0</c:formatCode>
                <c:ptCount val="3"/>
                <c:pt idx="0">
                  <c:v>6.6670634411337359E-2</c:v>
                </c:pt>
                <c:pt idx="1">
                  <c:v>0.15997087343536545</c:v>
                </c:pt>
                <c:pt idx="2">
                  <c:v>0.26119837931378959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E4-4333-98E7-A6194B777598}"/>
            </c:ext>
          </c:extLst>
        </c:ser>
        <c:ser>
          <c:idx val="5"/>
          <c:order val="5"/>
          <c:tx>
            <c:v>100 min</c:v>
          </c:tx>
          <c:invertIfNegative val="0"/>
          <c:val>
            <c:numRef>
              <c:f>Sheet1!$X$331:$Z$331</c:f>
              <c:numCache>
                <c:formatCode>0.0</c:formatCode>
                <c:ptCount val="3"/>
                <c:pt idx="0">
                  <c:v>9.4578468533145041E-2</c:v>
                </c:pt>
                <c:pt idx="1">
                  <c:v>0.21116713427448019</c:v>
                </c:pt>
                <c:pt idx="2">
                  <c:v>0.32090282881607129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E4-4333-98E7-A6194B777598}"/>
            </c:ext>
          </c:extLst>
        </c:ser>
        <c:ser>
          <c:idx val="6"/>
          <c:order val="6"/>
          <c:tx>
            <c:v>2 hours</c:v>
          </c:tx>
          <c:invertIfNegative val="0"/>
          <c:val>
            <c:numRef>
              <c:f>Sheet1!$X$332:$Z$332</c:f>
              <c:numCache>
                <c:formatCode>0.0</c:formatCode>
                <c:ptCount val="3"/>
                <c:pt idx="0">
                  <c:v>0.10662267882027106</c:v>
                </c:pt>
                <c:pt idx="1">
                  <c:v>0.3</c:v>
                </c:pt>
                <c:pt idx="2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E4-4333-98E7-A6194B777598}"/>
            </c:ext>
          </c:extLst>
        </c:ser>
        <c:ser>
          <c:idx val="7"/>
          <c:order val="7"/>
          <c:tx>
            <c:v>4 hours</c:v>
          </c:tx>
          <c:invertIfNegative val="0"/>
          <c:val>
            <c:numRef>
              <c:f>Sheet1!$X$333:$Z$333</c:f>
              <c:numCache>
                <c:formatCode>0.0</c:formatCode>
                <c:ptCount val="3"/>
                <c:pt idx="0">
                  <c:v>0.16618265867964338</c:v>
                </c:pt>
                <c:pt idx="1">
                  <c:v>0.4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E4-4333-98E7-A6194B777598}"/>
            </c:ext>
          </c:extLst>
        </c:ser>
        <c:ser>
          <c:idx val="8"/>
          <c:order val="8"/>
          <c:tx>
            <c:v>19 hours</c:v>
          </c:tx>
          <c:invertIfNegative val="0"/>
          <c:val>
            <c:numRef>
              <c:f>Sheet1!$X$334:$Z$334</c:f>
              <c:numCache>
                <c:formatCode>0.0</c:formatCode>
                <c:ptCount val="3"/>
                <c:pt idx="1">
                  <c:v>0.60693429851224812</c:v>
                </c:pt>
                <c:pt idx="2">
                  <c:v>1.0852104859375484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E4-4333-98E7-A6194B777598}"/>
            </c:ext>
          </c:extLst>
        </c:ser>
        <c:ser>
          <c:idx val="9"/>
          <c:order val="9"/>
          <c:tx>
            <c:v>25 hours</c:v>
          </c:tx>
          <c:invertIfNegative val="0"/>
          <c:val>
            <c:numRef>
              <c:f>Sheet1!$X$335:$Z$335</c:f>
              <c:numCache>
                <c:formatCode>0.0</c:formatCode>
                <c:ptCount val="3"/>
                <c:pt idx="1">
                  <c:v>0.75506878921287734</c:v>
                </c:pt>
                <c:pt idx="2">
                  <c:v>1.2729919820536786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E4-4333-98E7-A6194B777598}"/>
            </c:ext>
          </c:extLst>
        </c:ser>
        <c:ser>
          <c:idx val="10"/>
          <c:order val="10"/>
          <c:tx>
            <c:v>50 hours</c:v>
          </c:tx>
          <c:invertIfNegative val="0"/>
          <c:val>
            <c:numRef>
              <c:f>Sheet1!$X$336:$Z$336</c:f>
              <c:numCache>
                <c:formatCode>0.0</c:formatCode>
                <c:ptCount val="3"/>
                <c:pt idx="1">
                  <c:v>1.123517390626154</c:v>
                </c:pt>
                <c:pt idx="2">
                  <c:v>1.8048470324507906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E4-4333-98E7-A6194B777598}"/>
            </c:ext>
          </c:extLst>
        </c:ser>
        <c:ser>
          <c:idx val="11"/>
          <c:order val="11"/>
          <c:tx>
            <c:v>60 hours</c:v>
          </c:tx>
          <c:invertIfNegative val="0"/>
          <c:val>
            <c:numRef>
              <c:f>Sheet1!$X$337:$Z$337</c:f>
              <c:numCache>
                <c:formatCode>0.0</c:formatCode>
                <c:ptCount val="3"/>
                <c:pt idx="1">
                  <c:v>1.146483875971172</c:v>
                </c:pt>
                <c:pt idx="2">
                  <c:v>1.9096355453818252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E4-4333-98E7-A6194B777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784128"/>
        <c:axId val="117003392"/>
      </c:barChart>
      <c:catAx>
        <c:axId val="11678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u="none" strike="noStrike" baseline="0">
                    <a:effectLst/>
                  </a:rPr>
                  <a:t>[NH</a:t>
                </a:r>
                <a:r>
                  <a:rPr lang="en-US" sz="1000" b="1" i="0" u="none" strike="noStrike" baseline="-25000">
                    <a:effectLst/>
                  </a:rPr>
                  <a:t>3</a:t>
                </a:r>
                <a:r>
                  <a:rPr lang="en-US" sz="1000" b="1" i="0" u="none" strike="noStrike" baseline="0">
                    <a:effectLst/>
                  </a:rPr>
                  <a:t>] (mol/L)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003392"/>
        <c:crosses val="autoZero"/>
        <c:auto val="1"/>
        <c:lblAlgn val="ctr"/>
        <c:lblOffset val="100"/>
        <c:noMultiLvlLbl val="0"/>
      </c:catAx>
      <c:valAx>
        <c:axId val="1170033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Ssol/S* (-)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16784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696112529640249"/>
          <c:y val="7.5135972586759997E-2"/>
          <c:w val="8.3506959298971409E-2"/>
          <c:h val="0.8506769466316710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[CO2 (t)]/2.32</a:t>
            </a:r>
            <a:r>
              <a:rPr lang="en-US" sz="1000" baseline="0"/>
              <a:t> =M/M; Ql=4.55ml/min; Qg=60ml/min; vol liq=100ml; NH3  2.3M</a:t>
            </a:r>
            <a:endParaRPr lang="en-US" sz="100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Saturation line</c:v>
          </c:tx>
          <c:spPr>
            <a:ln w="28575">
              <a:noFill/>
            </a:ln>
          </c:spPr>
          <c:marker>
            <c:symbol val="square"/>
            <c:size val="2"/>
          </c:marker>
          <c:xVal>
            <c:numRef>
              <c:f>Sheet1!$Z$153:$Z$188</c:f>
              <c:numCache>
                <c:formatCode>General</c:formatCode>
                <c:ptCount val="36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</c:numCache>
            </c:numRef>
          </c:xVal>
          <c:yVal>
            <c:numRef>
              <c:f>Sheet1!$AA$153:$AA$188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0F-423D-9895-728F3E9C753E}"/>
            </c:ext>
          </c:extLst>
        </c:ser>
        <c:ser>
          <c:idx val="0"/>
          <c:order val="1"/>
          <c:tx>
            <c:v>Zeus PTFE 9/2/2016</c:v>
          </c:tx>
          <c:spPr>
            <a:ln w="28575">
              <a:noFill/>
            </a:ln>
          </c:spPr>
          <c:xVal>
            <c:numRef>
              <c:f>Sheet1!$BI$73:$BI$87</c:f>
              <c:numCache>
                <c:formatCode>General</c:formatCode>
                <c:ptCount val="15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60</c:v>
                </c:pt>
                <c:pt idx="5">
                  <c:v>90</c:v>
                </c:pt>
                <c:pt idx="6">
                  <c:v>780</c:v>
                </c:pt>
                <c:pt idx="7">
                  <c:v>1020</c:v>
                </c:pt>
                <c:pt idx="8">
                  <c:v>1260</c:v>
                </c:pt>
                <c:pt idx="9">
                  <c:v>1500</c:v>
                </c:pt>
                <c:pt idx="10">
                  <c:v>2220</c:v>
                </c:pt>
                <c:pt idx="11" formatCode="0">
                  <c:v>2460</c:v>
                </c:pt>
                <c:pt idx="12">
                  <c:v>2700</c:v>
                </c:pt>
                <c:pt idx="13">
                  <c:v>2940</c:v>
                </c:pt>
                <c:pt idx="14">
                  <c:v>3600</c:v>
                </c:pt>
              </c:numCache>
            </c:numRef>
          </c:xVal>
          <c:yVal>
            <c:numRef>
              <c:f>Sheet1!$BL$73:$BL$87</c:f>
              <c:numCache>
                <c:formatCode>General</c:formatCode>
                <c:ptCount val="15"/>
                <c:pt idx="0">
                  <c:v>3.6815641325928196E-3</c:v>
                </c:pt>
                <c:pt idx="1">
                  <c:v>3.5039827056359406E-2</c:v>
                </c:pt>
                <c:pt idx="2">
                  <c:v>6.6413736153452141E-2</c:v>
                </c:pt>
                <c:pt idx="3">
                  <c:v>0.11600601362217448</c:v>
                </c:pt>
                <c:pt idx="4">
                  <c:v>0.15997087343536545</c:v>
                </c:pt>
                <c:pt idx="5">
                  <c:v>0.21116713427448019</c:v>
                </c:pt>
                <c:pt idx="6">
                  <c:v>0.52978072761168804</c:v>
                </c:pt>
                <c:pt idx="7">
                  <c:v>0.60693429851224812</c:v>
                </c:pt>
                <c:pt idx="8">
                  <c:v>0.68586577189880482</c:v>
                </c:pt>
                <c:pt idx="9">
                  <c:v>0.75506878921287734</c:v>
                </c:pt>
                <c:pt idx="10">
                  <c:v>0.9651186244065928</c:v>
                </c:pt>
                <c:pt idx="11">
                  <c:v>1.0277938487499176</c:v>
                </c:pt>
                <c:pt idx="12">
                  <c:v>1.0740001155247478</c:v>
                </c:pt>
                <c:pt idx="13">
                  <c:v>1.123517390626154</c:v>
                </c:pt>
                <c:pt idx="14">
                  <c:v>1.146483875971172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0F-423D-9895-728F3E9C7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25024"/>
        <c:axId val="117043584"/>
      </c:scatterChart>
      <c:valAx>
        <c:axId val="117025024"/>
        <c:scaling>
          <c:orientation val="minMax"/>
          <c:max val="3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US" sz="1500"/>
                  <a:t>time measurement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7043584"/>
        <c:crosses val="autoZero"/>
        <c:crossBetween val="midCat"/>
      </c:valAx>
      <c:valAx>
        <c:axId val="1170435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Ssol/S*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702502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[CO2 (t)]/2.32</a:t>
            </a:r>
            <a:r>
              <a:rPr lang="en-US" sz="1000" baseline="0"/>
              <a:t> =M/M; Ql=4.55ml/min; Qg=60ml/min; vol liq=100ml; NH3  2.3M</a:t>
            </a:r>
            <a:endParaRPr lang="en-US" sz="100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Saturation line</c:v>
          </c:tx>
          <c:spPr>
            <a:ln w="28575">
              <a:noFill/>
            </a:ln>
          </c:spPr>
          <c:marker>
            <c:symbol val="square"/>
            <c:size val="2"/>
          </c:marker>
          <c:xVal>
            <c:numRef>
              <c:f>Sheet1!$Z$153:$Z$188</c:f>
              <c:numCache>
                <c:formatCode>General</c:formatCode>
                <c:ptCount val="36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</c:numCache>
            </c:numRef>
          </c:xVal>
          <c:yVal>
            <c:numRef>
              <c:f>Sheet1!$AA$153:$AA$188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6E-4D64-B980-4CEA272F0EEE}"/>
            </c:ext>
          </c:extLst>
        </c:ser>
        <c:ser>
          <c:idx val="4"/>
          <c:order val="1"/>
          <c:tx>
            <c:v>Zeus PTFE 27/1/2016</c:v>
          </c:tx>
          <c:spPr>
            <a:ln w="28575">
              <a:noFill/>
            </a:ln>
          </c:spPr>
          <c:xVal>
            <c:numRef>
              <c:f>Sheet1!$AE$73:$AE$83</c:f>
              <c:numCache>
                <c:formatCode>General</c:formatCode>
                <c:ptCount val="11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200</c:v>
                </c:pt>
                <c:pt idx="7">
                  <c:v>1150</c:v>
                </c:pt>
                <c:pt idx="8">
                  <c:v>1440</c:v>
                </c:pt>
                <c:pt idx="9">
                  <c:v>2860</c:v>
                </c:pt>
                <c:pt idx="10">
                  <c:v>3050</c:v>
                </c:pt>
              </c:numCache>
            </c:numRef>
          </c:xVal>
          <c:yVal>
            <c:numRef>
              <c:f>Sheet1!$AH$73:$AH$83</c:f>
              <c:numCache>
                <c:formatCode>General</c:formatCode>
                <c:ptCount val="11"/>
                <c:pt idx="0">
                  <c:v>3.7432126033237864E-3</c:v>
                </c:pt>
                <c:pt idx="1">
                  <c:v>3.5159493296278453E-2</c:v>
                </c:pt>
                <c:pt idx="2">
                  <c:v>6.6400437318732575E-2</c:v>
                </c:pt>
                <c:pt idx="3">
                  <c:v>0.11766667091542354</c:v>
                </c:pt>
                <c:pt idx="4">
                  <c:v>0.17340628401434188</c:v>
                </c:pt>
                <c:pt idx="5">
                  <c:v>0.21650781607432085</c:v>
                </c:pt>
                <c:pt idx="6">
                  <c:v>0.30638276362098815</c:v>
                </c:pt>
                <c:pt idx="7">
                  <c:v>0.78153501954997451</c:v>
                </c:pt>
                <c:pt idx="8">
                  <c:v>0.91189476734107189</c:v>
                </c:pt>
                <c:pt idx="9">
                  <c:v>1.1327514243710228</c:v>
                </c:pt>
                <c:pt idx="10">
                  <c:v>1.1646611436168961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6E-4D64-B980-4CEA272F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86080"/>
        <c:axId val="117088256"/>
      </c:scatterChart>
      <c:valAx>
        <c:axId val="117086080"/>
        <c:scaling>
          <c:orientation val="minMax"/>
          <c:max val="3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US" sz="1500"/>
                  <a:t>time measurement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7088256"/>
        <c:crosses val="autoZero"/>
        <c:crossBetween val="midCat"/>
      </c:valAx>
      <c:valAx>
        <c:axId val="1170882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Ssol/S*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708608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[CO2 (t)]/2.32</a:t>
            </a:r>
            <a:r>
              <a:rPr lang="en-US" sz="1000" baseline="0"/>
              <a:t> =M/M; Ql=4.55ml/min; Qg=60ml/min; vol liq=100ml; NH3  2.3M</a:t>
            </a:r>
            <a:endParaRPr lang="en-US" sz="100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Saturation line</c:v>
          </c:tx>
          <c:spPr>
            <a:ln w="28575">
              <a:noFill/>
            </a:ln>
          </c:spPr>
          <c:marker>
            <c:symbol val="square"/>
            <c:size val="2"/>
          </c:marker>
          <c:xVal>
            <c:numRef>
              <c:f>Sheet1!$Z$153:$Z$188</c:f>
              <c:numCache>
                <c:formatCode>General</c:formatCode>
                <c:ptCount val="36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</c:numCache>
            </c:numRef>
          </c:xVal>
          <c:yVal>
            <c:numRef>
              <c:f>Sheet1!$AA$153:$AA$188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A8-40E3-8019-4BEF2A7A8B7C}"/>
            </c:ext>
          </c:extLst>
        </c:ser>
        <c:ser>
          <c:idx val="2"/>
          <c:order val="1"/>
          <c:tx>
            <c:v>Zeus PTFE 8/2/2016</c:v>
          </c:tx>
          <c:spPr>
            <a:ln w="28575">
              <a:noFill/>
            </a:ln>
          </c:spPr>
          <c:xVal>
            <c:numRef>
              <c:f>Sheet1!$AY$73:$AY$81</c:f>
              <c:numCache>
                <c:formatCode>General</c:formatCode>
                <c:ptCount val="9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60</c:v>
                </c:pt>
                <c:pt idx="5">
                  <c:v>90</c:v>
                </c:pt>
                <c:pt idx="6">
                  <c:v>120</c:v>
                </c:pt>
                <c:pt idx="7">
                  <c:v>360</c:v>
                </c:pt>
                <c:pt idx="8">
                  <c:v>600</c:v>
                </c:pt>
              </c:numCache>
            </c:numRef>
          </c:xVal>
          <c:yVal>
            <c:numRef>
              <c:f>Sheet1!$BB$73:$BB$81</c:f>
              <c:numCache>
                <c:formatCode>General</c:formatCode>
                <c:ptCount val="9"/>
                <c:pt idx="0">
                  <c:v>3.5309571158114593E-3</c:v>
                </c:pt>
                <c:pt idx="1">
                  <c:v>3.49507315003336E-2</c:v>
                </c:pt>
                <c:pt idx="2">
                  <c:v>6.6577764500317119E-2</c:v>
                </c:pt>
                <c:pt idx="3">
                  <c:v>0.11881544860155697</c:v>
                </c:pt>
                <c:pt idx="4">
                  <c:v>0.1599764556783119</c:v>
                </c:pt>
                <c:pt idx="5">
                  <c:v>0.21038178516049466</c:v>
                </c:pt>
                <c:pt idx="6">
                  <c:v>0.2498308137875957</c:v>
                </c:pt>
                <c:pt idx="7">
                  <c:v>0.39429277370134491</c:v>
                </c:pt>
                <c:pt idx="8">
                  <c:v>0.50405397358209447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A8-40E3-8019-4BEF2A7A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79520"/>
        <c:axId val="117181440"/>
      </c:scatterChart>
      <c:valAx>
        <c:axId val="117179520"/>
        <c:scaling>
          <c:orientation val="minMax"/>
          <c:max val="3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US" sz="1500"/>
                  <a:t>time measurement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7181440"/>
        <c:crosses val="autoZero"/>
        <c:crossBetween val="midCat"/>
      </c:valAx>
      <c:valAx>
        <c:axId val="1171814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Ssol/S*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717952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Qg=60ml/min; VOL liq=100ml; [NH3]=3M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cat>
            <c:numRef>
              <c:f>Sheet1!$C$360:$G$360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Sheet1!$C$361:$G$361</c:f>
              <c:numCache>
                <c:formatCode>General</c:formatCode>
                <c:ptCount val="5"/>
                <c:pt idx="0">
                  <c:v>15.415092243249081</c:v>
                </c:pt>
                <c:pt idx="1">
                  <c:v>16.544777126528505</c:v>
                </c:pt>
                <c:pt idx="2">
                  <c:v>17.426447563790319</c:v>
                </c:pt>
                <c:pt idx="3">
                  <c:v>16.021212615006078</c:v>
                </c:pt>
                <c:pt idx="4">
                  <c:v>16.088196615119717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8-4328-9816-E0386BC508F1}"/>
            </c:ext>
          </c:extLst>
        </c:ser>
        <c:ser>
          <c:idx val="1"/>
          <c:order val="1"/>
          <c:tx>
            <c:v>10 min</c:v>
          </c:tx>
          <c:invertIfNegative val="0"/>
          <c:val>
            <c:numRef>
              <c:f>Sheet1!$C$362:$G$362</c:f>
              <c:numCache>
                <c:formatCode>General</c:formatCode>
                <c:ptCount val="5"/>
                <c:pt idx="0">
                  <c:v>15.146461416347687</c:v>
                </c:pt>
                <c:pt idx="1">
                  <c:v>14.341057235218518</c:v>
                </c:pt>
                <c:pt idx="2">
                  <c:v>15.515984911619588</c:v>
                </c:pt>
                <c:pt idx="3">
                  <c:v>15.372023888412247</c:v>
                </c:pt>
                <c:pt idx="4">
                  <c:v>15.009183882567346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8-4328-9816-E0386BC508F1}"/>
            </c:ext>
          </c:extLst>
        </c:ser>
        <c:ser>
          <c:idx val="2"/>
          <c:order val="2"/>
          <c:tx>
            <c:v>20 min</c:v>
          </c:tx>
          <c:invertIfNegative val="0"/>
          <c:val>
            <c:numRef>
              <c:f>Sheet1!$C$363:$G$363</c:f>
              <c:numCache>
                <c:formatCode>General</c:formatCode>
                <c:ptCount val="5"/>
                <c:pt idx="0">
                  <c:v>13.296446789889815</c:v>
                </c:pt>
                <c:pt idx="1">
                  <c:v>12.940285874907138</c:v>
                </c:pt>
                <c:pt idx="2">
                  <c:v>12.001264633383139</c:v>
                </c:pt>
                <c:pt idx="3">
                  <c:v>12.741311623895809</c:v>
                </c:pt>
                <c:pt idx="4">
                  <c:v>13.129267129928513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8-4328-9816-E0386BC508F1}"/>
            </c:ext>
          </c:extLst>
        </c:ser>
        <c:ser>
          <c:idx val="3"/>
          <c:order val="3"/>
          <c:tx>
            <c:v>40 min</c:v>
          </c:tx>
          <c:invertIfNegative val="0"/>
          <c:val>
            <c:numRef>
              <c:f>Sheet1!$C$364:$G$364</c:f>
              <c:numCache>
                <c:formatCode>General</c:formatCode>
                <c:ptCount val="5"/>
                <c:pt idx="0">
                  <c:v>10.562079760992489</c:v>
                </c:pt>
                <c:pt idx="1">
                  <c:v>10.179944099245175</c:v>
                </c:pt>
                <c:pt idx="2">
                  <c:v>9.3832679475045939</c:v>
                </c:pt>
                <c:pt idx="3">
                  <c:v>9.9640167804956921</c:v>
                </c:pt>
                <c:pt idx="4">
                  <c:v>10.108973891127574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8-4328-9816-E0386BC508F1}"/>
            </c:ext>
          </c:extLst>
        </c:ser>
        <c:ser>
          <c:idx val="4"/>
          <c:order val="4"/>
          <c:tx>
            <c:v>70 min</c:v>
          </c:tx>
          <c:invertIfNegative val="0"/>
          <c:val>
            <c:numRef>
              <c:f>Sheet1!$C$365:$G$365</c:f>
              <c:numCache>
                <c:formatCode>General</c:formatCode>
                <c:ptCount val="5"/>
                <c:pt idx="0">
                  <c:v>8.6038370025164816</c:v>
                </c:pt>
                <c:pt idx="1">
                  <c:v>8.1062314151035846</c:v>
                </c:pt>
                <c:pt idx="2">
                  <c:v>6.6058028525170522</c:v>
                </c:pt>
                <c:pt idx="3">
                  <c:v>6.7314966045899789</c:v>
                </c:pt>
                <c:pt idx="4">
                  <c:v>7.1512692326672695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98-4328-9816-E0386BC508F1}"/>
            </c:ext>
          </c:extLst>
        </c:ser>
        <c:ser>
          <c:idx val="5"/>
          <c:order val="5"/>
          <c:tx>
            <c:v>100 min</c:v>
          </c:tx>
          <c:invertIfNegative val="0"/>
          <c:val>
            <c:numRef>
              <c:f>Sheet1!$C$366:$G$366</c:f>
              <c:numCache>
                <c:formatCode>General</c:formatCode>
                <c:ptCount val="5"/>
                <c:pt idx="0">
                  <c:v>6.8362494781767147</c:v>
                </c:pt>
                <c:pt idx="1">
                  <c:v>6.4014247061282106</c:v>
                </c:pt>
                <c:pt idx="2">
                  <c:v>4.4821025967010915</c:v>
                </c:pt>
                <c:pt idx="3">
                  <c:v>4.8432578236465842</c:v>
                </c:pt>
                <c:pt idx="4">
                  <c:v>5.3272690606243431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98-4328-9816-E0386BC508F1}"/>
            </c:ext>
          </c:extLst>
        </c:ser>
        <c:ser>
          <c:idx val="6"/>
          <c:order val="6"/>
          <c:tx>
            <c:v>3 hours</c:v>
          </c:tx>
          <c:invertIfNegative val="0"/>
          <c:val>
            <c:numRef>
              <c:f>Sheet1!$C$367:$G$367</c:f>
              <c:numCache>
                <c:formatCode>General</c:formatCode>
                <c:ptCount val="5"/>
                <c:pt idx="0">
                  <c:v>3.5</c:v>
                </c:pt>
                <c:pt idx="1">
                  <c:v>3.5</c:v>
                </c:pt>
                <c:pt idx="2">
                  <c:v>2.8578655044690113</c:v>
                </c:pt>
                <c:pt idx="3">
                  <c:v>3.7983101487555739</c:v>
                </c:pt>
                <c:pt idx="4">
                  <c:v>3.0272996891063269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98-4328-9816-E0386BC508F1}"/>
            </c:ext>
          </c:extLst>
        </c:ser>
        <c:ser>
          <c:idx val="7"/>
          <c:order val="7"/>
          <c:tx>
            <c:v>4.5 hours</c:v>
          </c:tx>
          <c:invertIfNegative val="0"/>
          <c:val>
            <c:numRef>
              <c:f>Sheet1!$C$368:$G$368</c:f>
              <c:numCache>
                <c:formatCode>General</c:formatCode>
                <c:ptCount val="5"/>
                <c:pt idx="0">
                  <c:v>2.5</c:v>
                </c:pt>
                <c:pt idx="1">
                  <c:v>2.5</c:v>
                </c:pt>
                <c:pt idx="2">
                  <c:v>2.9502196331725696</c:v>
                </c:pt>
                <c:pt idx="3">
                  <c:v>2.5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98-4328-9816-E0386BC508F1}"/>
            </c:ext>
          </c:extLst>
        </c:ser>
        <c:ser>
          <c:idx val="8"/>
          <c:order val="8"/>
          <c:tx>
            <c:v>19 hours</c:v>
          </c:tx>
          <c:invertIfNegative val="0"/>
          <c:val>
            <c:numRef>
              <c:f>Sheet1!$C$369:$G$369</c:f>
              <c:numCache>
                <c:formatCode>General</c:formatCode>
                <c:ptCount val="5"/>
                <c:pt idx="4">
                  <c:v>1.7869049668736712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8-4328-9816-E0386BC508F1}"/>
            </c:ext>
          </c:extLst>
        </c:ser>
        <c:ser>
          <c:idx val="9"/>
          <c:order val="9"/>
          <c:tx>
            <c:v>24 hours</c:v>
          </c:tx>
          <c:invertIfNegative val="0"/>
          <c:val>
            <c:numRef>
              <c:f>Sheet1!$C$370:$G$370</c:f>
              <c:numCache>
                <c:formatCode>General</c:formatCode>
                <c:ptCount val="5"/>
                <c:pt idx="4">
                  <c:v>1.2150457532090406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98-4328-9816-E0386BC508F1}"/>
            </c:ext>
          </c:extLst>
        </c:ser>
        <c:ser>
          <c:idx val="10"/>
          <c:order val="10"/>
          <c:tx>
            <c:v>40 hours</c:v>
          </c:tx>
          <c:invertIfNegative val="0"/>
          <c:val>
            <c:numRef>
              <c:f>Sheet1!$C$371:$G$371</c:f>
              <c:numCache>
                <c:formatCode>General</c:formatCode>
                <c:ptCount val="5"/>
                <c:pt idx="4">
                  <c:v>1.0977627875989922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98-4328-9816-E0386BC508F1}"/>
            </c:ext>
          </c:extLst>
        </c:ser>
        <c:ser>
          <c:idx val="11"/>
          <c:order val="11"/>
          <c:tx>
            <c:v>50 hours</c:v>
          </c:tx>
          <c:invertIfNegative val="0"/>
          <c:val>
            <c:numRef>
              <c:f>Sheet1!$C$372:$G$372</c:f>
              <c:numCache>
                <c:formatCode>General</c:formatCode>
                <c:ptCount val="5"/>
                <c:pt idx="4">
                  <c:v>0.82201441254584584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98-4328-9816-E0386BC508F1}"/>
            </c:ext>
          </c:extLst>
        </c:ser>
        <c:ser>
          <c:idx val="12"/>
          <c:order val="12"/>
          <c:tx>
            <c:v>60 hours</c:v>
          </c:tx>
          <c:invertIfNegative val="0"/>
          <c:val>
            <c:numRef>
              <c:f>Sheet1!$C$373:$G$373</c:f>
              <c:numCache>
                <c:formatCode>General</c:formatCode>
                <c:ptCount val="5"/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98-4328-9816-E0386BC50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253248"/>
        <c:axId val="117255168"/>
      </c:barChart>
      <c:catAx>
        <c:axId val="11725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number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255168"/>
        <c:crosses val="autoZero"/>
        <c:auto val="1"/>
        <c:lblAlgn val="ctr"/>
        <c:lblOffset val="100"/>
        <c:noMultiLvlLbl val="0"/>
      </c:catAx>
      <c:valAx>
        <c:axId val="117255168"/>
        <c:scaling>
          <c:orientation val="minMax"/>
          <c:max val="18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u="none" strike="noStrike" baseline="0">
                    <a:effectLst/>
                  </a:rPr>
                  <a:t>JCO</a:t>
                </a:r>
                <a:r>
                  <a:rPr lang="en-US" sz="1000" b="1" i="0" u="none" strike="noStrike" baseline="-25000">
                    <a:effectLst/>
                  </a:rPr>
                  <a:t>2</a:t>
                </a:r>
                <a:r>
                  <a:rPr lang="en-US" sz="1000" b="1" i="0" u="none" strike="noStrike" baseline="0">
                    <a:effectLst/>
                  </a:rPr>
                  <a:t> (*10</a:t>
                </a:r>
                <a:r>
                  <a:rPr lang="en-US" sz="1000" b="1" i="0" u="none" strike="noStrike" baseline="30000">
                    <a:effectLst/>
                  </a:rPr>
                  <a:t>3</a:t>
                </a:r>
                <a:r>
                  <a:rPr lang="en-US" sz="1000" b="1" i="0" u="none" strike="noStrike" baseline="0">
                    <a:effectLst/>
                  </a:rPr>
                  <a:t>molCO</a:t>
                </a:r>
                <a:r>
                  <a:rPr lang="en-US" sz="1000" b="1" i="0" u="none" strike="noStrike" baseline="-25000">
                    <a:effectLst/>
                  </a:rPr>
                  <a:t>2</a:t>
                </a:r>
                <a:r>
                  <a:rPr lang="en-US" sz="1000" b="1" i="0" u="none" strike="noStrike" baseline="0">
                    <a:effectLst/>
                  </a:rPr>
                  <a:t>/m</a:t>
                </a:r>
                <a:r>
                  <a:rPr lang="en-US" sz="1000" b="1" i="0" u="none" strike="noStrike" baseline="30000">
                    <a:effectLst/>
                  </a:rPr>
                  <a:t>2</a:t>
                </a:r>
                <a:r>
                  <a:rPr lang="en-US" sz="1000" b="1" i="0" u="none" strike="noStrike" baseline="0">
                    <a:effectLst/>
                  </a:rPr>
                  <a:t>*s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253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926060567141449"/>
          <c:y val="3.048811606882473E-2"/>
          <c:w val="0.12691649827948481"/>
          <c:h val="0.88809784193642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Qg=60ml/min; VOL liq=100ml; [NH3]=3M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Sheet1!$C$383:$D$383</c:f>
              <c:numCache>
                <c:formatCode>General</c:formatCode>
                <c:ptCount val="2"/>
                <c:pt idx="0">
                  <c:v>8.5412287876153407E-3</c:v>
                </c:pt>
                <c:pt idx="1">
                  <c:v>1.3360260447223979E-2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7-480A-9561-63F2561ECF0F}"/>
            </c:ext>
          </c:extLst>
        </c:ser>
        <c:ser>
          <c:idx val="1"/>
          <c:order val="1"/>
          <c:tx>
            <c:v>10 min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Sheet1!$C$384:$D$384</c:f>
              <c:numCache>
                <c:formatCode>General</c:formatCode>
                <c:ptCount val="2"/>
                <c:pt idx="0">
                  <c:v>8.1292398770753824E-2</c:v>
                </c:pt>
                <c:pt idx="1">
                  <c:v>0.13150720343316086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7-480A-9561-63F2561ECF0F}"/>
            </c:ext>
          </c:extLst>
        </c:ser>
        <c:ser>
          <c:idx val="2"/>
          <c:order val="2"/>
          <c:tx>
            <c:v>20 min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Sheet1!$C$385:$D$385</c:f>
              <c:numCache>
                <c:formatCode>General</c:formatCode>
                <c:ptCount val="2"/>
                <c:pt idx="0">
                  <c:v>0.15407986787600897</c:v>
                </c:pt>
                <c:pt idx="1">
                  <c:v>0.24674750776113591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7-480A-9561-63F2561ECF0F}"/>
            </c:ext>
          </c:extLst>
        </c:ser>
        <c:ser>
          <c:idx val="3"/>
          <c:order val="3"/>
          <c:tx>
            <c:v>40 min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Sheet1!$C$386:$D$386</c:f>
              <c:numCache>
                <c:formatCode>General</c:formatCode>
                <c:ptCount val="2"/>
                <c:pt idx="0">
                  <c:v>0.26913395160344478</c:v>
                </c:pt>
                <c:pt idx="1">
                  <c:v>0.42983059833817971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7-480A-9561-63F2561ECF0F}"/>
            </c:ext>
          </c:extLst>
        </c:ser>
        <c:ser>
          <c:idx val="4"/>
          <c:order val="4"/>
          <c:tx>
            <c:v>70 min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Sheet1!$C$387:$D$387</c:f>
              <c:numCache>
                <c:formatCode>General</c:formatCode>
                <c:ptCount val="2"/>
                <c:pt idx="0">
                  <c:v>0.37113242637004784</c:v>
                </c:pt>
                <c:pt idx="1">
                  <c:v>0.65353896424061075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7-480A-9561-63F2561ECF0F}"/>
            </c:ext>
          </c:extLst>
        </c:ser>
        <c:ser>
          <c:idx val="5"/>
          <c:order val="5"/>
          <c:tx>
            <c:v>100 min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Sheet1!$C$388:$D$388</c:f>
              <c:numCache>
                <c:formatCode>General</c:formatCode>
                <c:ptCount val="2"/>
                <c:pt idx="0">
                  <c:v>0.489907751516794</c:v>
                </c:pt>
                <c:pt idx="1">
                  <c:v>0.83128828692268353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7-480A-9561-63F2561ECF0F}"/>
            </c:ext>
          </c:extLst>
        </c:ser>
        <c:ser>
          <c:idx val="6"/>
          <c:order val="6"/>
          <c:tx>
            <c:v>3 hours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Sheet1!$C$389:$D$389</c:f>
              <c:numCache>
                <c:formatCode>General</c:formatCode>
                <c:ptCount val="2"/>
                <c:pt idx="0">
                  <c:v>0.8</c:v>
                </c:pt>
                <c:pt idx="1">
                  <c:v>1.0739642869226835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7-480A-9561-63F2561ECF0F}"/>
            </c:ext>
          </c:extLst>
        </c:ser>
        <c:ser>
          <c:idx val="7"/>
          <c:order val="7"/>
          <c:tx>
            <c:v>4.5 hours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Sheet1!$C$390:$D$390</c:f>
              <c:numCache>
                <c:formatCode>General</c:formatCode>
                <c:ptCount val="2"/>
                <c:pt idx="0">
                  <c:v>1</c:v>
                </c:pt>
                <c:pt idx="1">
                  <c:v>1.2689717869226835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7-480A-9561-63F2561ECF0F}"/>
            </c:ext>
          </c:extLst>
        </c:ser>
        <c:ser>
          <c:idx val="8"/>
          <c:order val="8"/>
          <c:tx>
            <c:v>20 hours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Sheet1!$C$391:$D$391</c:f>
              <c:numCache>
                <c:formatCode>General</c:formatCode>
                <c:ptCount val="2"/>
                <c:pt idx="0">
                  <c:v>1.5912085908052271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B7-480A-9561-63F2561ECF0F}"/>
            </c:ext>
          </c:extLst>
        </c:ser>
        <c:ser>
          <c:idx val="9"/>
          <c:order val="9"/>
          <c:tx>
            <c:v>40 hours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Sheet1!$C$392:$D$392</c:f>
              <c:numCache>
                <c:formatCode>General</c:formatCode>
                <c:ptCount val="2"/>
                <c:pt idx="0">
                  <c:v>2.3844817290998086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B7-480A-9561-63F2561ECF0F}"/>
            </c:ext>
          </c:extLst>
        </c:ser>
        <c:ser>
          <c:idx val="10"/>
          <c:order val="10"/>
          <c:tx>
            <c:v>50 hours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Sheet1!$C$393:$D$393</c:f>
              <c:numCache>
                <c:formatCode>General</c:formatCode>
                <c:ptCount val="2"/>
                <c:pt idx="0">
                  <c:v>2.6065603462526772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B7-480A-9561-63F2561ECF0F}"/>
            </c:ext>
          </c:extLst>
        </c:ser>
        <c:ser>
          <c:idx val="11"/>
          <c:order val="11"/>
          <c:tx>
            <c:v>60 hours</c:v>
          </c:tx>
          <c:invertIfNegative val="0"/>
          <c:cat>
            <c:numRef>
              <c:f>Sheet1!$C$381:$D$381</c:f>
              <c:numCache>
                <c:formatCode>General</c:formatCode>
                <c:ptCount val="2"/>
                <c:pt idx="0">
                  <c:v>2.2999999999999998</c:v>
                </c:pt>
                <c:pt idx="1">
                  <c:v>3</c:v>
                </c:pt>
              </c:numCache>
            </c:numRef>
          </c:cat>
          <c:val>
            <c:numRef>
              <c:f>Sheet1!$C$394:$D$394</c:f>
              <c:numCache>
                <c:formatCode>General</c:formatCode>
                <c:ptCount val="2"/>
                <c:pt idx="0">
                  <c:v>2.6598425922531188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B7-480A-9561-63F2561E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342592"/>
        <c:axId val="117344512"/>
      </c:barChart>
      <c:catAx>
        <c:axId val="11734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[NH</a:t>
                </a:r>
                <a:r>
                  <a:rPr lang="en-US" sz="1000" b="1" i="0" baseline="-25000">
                    <a:effectLst/>
                  </a:rPr>
                  <a:t>3</a:t>
                </a:r>
                <a:r>
                  <a:rPr lang="en-US" sz="1000" b="1" i="0" baseline="0">
                    <a:effectLst/>
                  </a:rPr>
                  <a:t>] (mol/L)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344512"/>
        <c:crosses val="autoZero"/>
        <c:auto val="1"/>
        <c:lblAlgn val="ctr"/>
        <c:lblOffset val="100"/>
        <c:noMultiLvlLbl val="0"/>
      </c:catAx>
      <c:valAx>
        <c:axId val="1173445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1" i="0" baseline="0">
                    <a:effectLst/>
                  </a:rPr>
                  <a:t>mol CO</a:t>
                </a:r>
                <a:r>
                  <a:rPr lang="en-GB" sz="1000" b="1" i="0" baseline="-25000">
                    <a:effectLst/>
                  </a:rPr>
                  <a:t>2</a:t>
                </a:r>
                <a:r>
                  <a:rPr lang="en-GB" sz="1000" b="1" i="0" baseline="0">
                    <a:effectLst/>
                  </a:rPr>
                  <a:t> absorbed/L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342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926060567141449"/>
          <c:y val="3.048811606882473E-2"/>
          <c:w val="0.12691649827948481"/>
          <c:h val="0.88809784193642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Ql=4.55ml/min; Qg=60ml/min; VOL liq=priming volume; [NH3]=3M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0 hour</c:v>
          </c:tx>
          <c:invertIfNegative val="0"/>
          <c:cat>
            <c:strRef>
              <c:f>Sheet1!$D$410:$E$410</c:f>
              <c:strCache>
                <c:ptCount val="2"/>
                <c:pt idx="0">
                  <c:v>Recirculation</c:v>
                </c:pt>
                <c:pt idx="1">
                  <c:v>Single pass</c:v>
                </c:pt>
              </c:strCache>
            </c:strRef>
          </c:cat>
          <c:val>
            <c:numRef>
              <c:f>Sheet1!$D$412:$E$412</c:f>
              <c:numCache>
                <c:formatCode>General</c:formatCode>
                <c:ptCount val="2"/>
                <c:pt idx="0">
                  <c:v>0.12855787235165644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9-412C-827F-6CDA77804FB6}"/>
            </c:ext>
          </c:extLst>
        </c:ser>
        <c:ser>
          <c:idx val="1"/>
          <c:order val="1"/>
          <c:tx>
            <c:v>0.5 hour</c:v>
          </c:tx>
          <c:invertIfNegative val="0"/>
          <c:val>
            <c:numRef>
              <c:f>Sheet1!$D$415:$E$415</c:f>
              <c:numCache>
                <c:formatCode>General</c:formatCode>
                <c:ptCount val="2"/>
                <c:pt idx="0">
                  <c:v>4.1360052382420029</c:v>
                </c:pt>
                <c:pt idx="1">
                  <c:v>4.1814120319008765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9-412C-827F-6CDA77804FB6}"/>
            </c:ext>
          </c:extLst>
        </c:ser>
        <c:ser>
          <c:idx val="2"/>
          <c:order val="2"/>
          <c:tx>
            <c:v>1 hour</c:v>
          </c:tx>
          <c:invertIfNegative val="0"/>
          <c:val>
            <c:numRef>
              <c:f>Sheet1!$D$416:$E$416</c:f>
              <c:numCache>
                <c:formatCode>General</c:formatCode>
                <c:ptCount val="2"/>
                <c:pt idx="0">
                  <c:v>6.2886183299769076</c:v>
                </c:pt>
                <c:pt idx="1">
                  <c:v>8.362824063801753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79-412C-827F-6CDA77804FB6}"/>
            </c:ext>
          </c:extLst>
        </c:ser>
        <c:ser>
          <c:idx val="3"/>
          <c:order val="3"/>
          <c:tx>
            <c:v>1.5 hours</c:v>
          </c:tx>
          <c:invertIfNegative val="0"/>
          <c:val>
            <c:numRef>
              <c:f>Sheet1!$D$417:$E$417</c:f>
              <c:numCache>
                <c:formatCode>General</c:formatCode>
                <c:ptCount val="2"/>
                <c:pt idx="0">
                  <c:v>7.9989947725786195</c:v>
                </c:pt>
                <c:pt idx="1">
                  <c:v>12.544236095702631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79-412C-827F-6CDA77804FB6}"/>
            </c:ext>
          </c:extLst>
        </c:ser>
        <c:ser>
          <c:idx val="4"/>
          <c:order val="4"/>
          <c:tx>
            <c:v>3 hours</c:v>
          </c:tx>
          <c:invertIfNegative val="0"/>
          <c:val>
            <c:numRef>
              <c:f>Sheet1!$D$418:$E$418</c:f>
              <c:numCache>
                <c:formatCode>General</c:formatCode>
                <c:ptCount val="2"/>
                <c:pt idx="0">
                  <c:v>10.334122171782347</c:v>
                </c:pt>
                <c:pt idx="1">
                  <c:v>25.088472191405263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79-412C-827F-6CDA77804FB6}"/>
            </c:ext>
          </c:extLst>
        </c:ser>
        <c:ser>
          <c:idx val="5"/>
          <c:order val="5"/>
          <c:tx>
            <c:v>4.5 hours</c:v>
          </c:tx>
          <c:invertIfNegative val="0"/>
          <c:val>
            <c:numRef>
              <c:f>Sheet1!$D$419:$E$419</c:f>
              <c:numCache>
                <c:formatCode>General</c:formatCode>
                <c:ptCount val="2"/>
                <c:pt idx="0">
                  <c:v>12.210563831856772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79-412C-827F-6CDA77804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467392"/>
        <c:axId val="117469568"/>
      </c:barChart>
      <c:catAx>
        <c:axId val="11746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Operation type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17469568"/>
        <c:crosses val="autoZero"/>
        <c:auto val="1"/>
        <c:lblAlgn val="ctr"/>
        <c:lblOffset val="100"/>
        <c:noMultiLvlLbl val="0"/>
      </c:catAx>
      <c:valAx>
        <c:axId val="117469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1" i="0" baseline="0">
                    <a:effectLst/>
                  </a:rPr>
                  <a:t>mol CO</a:t>
                </a:r>
                <a:r>
                  <a:rPr lang="en-GB" sz="1000" b="1" i="0" baseline="-25000">
                    <a:effectLst/>
                  </a:rPr>
                  <a:t>2</a:t>
                </a:r>
                <a:r>
                  <a:rPr lang="en-GB" sz="1000" b="1" i="0" baseline="0">
                    <a:effectLst/>
                  </a:rPr>
                  <a:t> absorbed/L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46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3742097028177E-2"/>
          <c:y val="0.10702295599707133"/>
          <c:w val="0.81656166755546833"/>
          <c:h val="0.71952231368613961"/>
        </c:manualLayout>
      </c:layout>
      <c:scatterChart>
        <c:scatterStyle val="lineMarker"/>
        <c:varyColors val="0"/>
        <c:ser>
          <c:idx val="2"/>
          <c:order val="0"/>
          <c:tx>
            <c:v>NH3 3M (20C)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chemeClr val="tx1"/>
              </a:solidFill>
              <a:ln w="50800">
                <a:noFill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'20v5'!$H$5:$H$12</c:f>
                <c:numCache>
                  <c:formatCode>General</c:formatCode>
                  <c:ptCount val="8"/>
                  <c:pt idx="0">
                    <c:v>0.9416191233757677</c:v>
                  </c:pt>
                  <c:pt idx="1">
                    <c:v>0.55030492577915002</c:v>
                  </c:pt>
                  <c:pt idx="2">
                    <c:v>0.85249352328750772</c:v>
                  </c:pt>
                  <c:pt idx="3">
                    <c:v>0.61781580470112174</c:v>
                  </c:pt>
                  <c:pt idx="4">
                    <c:v>0.12232021184564</c:v>
                  </c:pt>
                  <c:pt idx="5">
                    <c:v>1.0515683755295302</c:v>
                  </c:pt>
                  <c:pt idx="6">
                    <c:v>1.952034953145442</c:v>
                  </c:pt>
                  <c:pt idx="7">
                    <c:v>0.4374657579305723</c:v>
                  </c:pt>
                </c:numCache>
              </c:numRef>
            </c:plus>
            <c:minus>
              <c:numRef>
                <c:f>'20v5'!$H$5:$H$12</c:f>
                <c:numCache>
                  <c:formatCode>General</c:formatCode>
                  <c:ptCount val="8"/>
                  <c:pt idx="0">
                    <c:v>0.9416191233757677</c:v>
                  </c:pt>
                  <c:pt idx="1">
                    <c:v>0.55030492577915002</c:v>
                  </c:pt>
                  <c:pt idx="2">
                    <c:v>0.85249352328750772</c:v>
                  </c:pt>
                  <c:pt idx="3">
                    <c:v>0.61781580470112174</c:v>
                  </c:pt>
                  <c:pt idx="4">
                    <c:v>0.12232021184564</c:v>
                  </c:pt>
                  <c:pt idx="5">
                    <c:v>1.0515683755295302</c:v>
                  </c:pt>
                  <c:pt idx="6">
                    <c:v>1.952034953145442</c:v>
                  </c:pt>
                  <c:pt idx="7">
                    <c:v>0.4374657579305723</c:v>
                  </c:pt>
                </c:numCache>
              </c:numRef>
            </c:minus>
          </c:errBars>
          <c:xVal>
            <c:numRef>
              <c:f>recirculation!$A$64:$A$71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</c:numCache>
            </c:numRef>
          </c:xVal>
          <c:yVal>
            <c:numRef>
              <c:f>recirculation!$I$64:$I$71</c:f>
              <c:numCache>
                <c:formatCode>General</c:formatCode>
                <c:ptCount val="8"/>
                <c:pt idx="0">
                  <c:v>18.162837468694921</c:v>
                </c:pt>
                <c:pt idx="1">
                  <c:v>14.547151295834921</c:v>
                </c:pt>
                <c:pt idx="2">
                  <c:v>12.68937778221083</c:v>
                </c:pt>
                <c:pt idx="3">
                  <c:v>8.7637830411161524</c:v>
                </c:pt>
                <c:pt idx="4">
                  <c:v>6.6276642287046723</c:v>
                </c:pt>
                <c:pt idx="5">
                  <c:v>5.0053398170198493</c:v>
                </c:pt>
                <c:pt idx="6">
                  <c:v>3.8012889916842547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E9-4CBA-BDF1-889E6BB07096}"/>
            </c:ext>
          </c:extLst>
        </c:ser>
        <c:ser>
          <c:idx val="0"/>
          <c:order val="3"/>
          <c:tx>
            <c:v>NH3 3M (5C)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'20v5'!$V$48:$V$59</c:f>
                <c:numCache>
                  <c:formatCode>General</c:formatCode>
                  <c:ptCount val="12"/>
                  <c:pt idx="0">
                    <c:v>0.27285005937851542</c:v>
                  </c:pt>
                  <c:pt idx="1">
                    <c:v>0.79327713319129334</c:v>
                  </c:pt>
                  <c:pt idx="2">
                    <c:v>0.49831003996871709</c:v>
                  </c:pt>
                  <c:pt idx="3">
                    <c:v>0.13636737068268098</c:v>
                  </c:pt>
                  <c:pt idx="4">
                    <c:v>0.38588227416275822</c:v>
                  </c:pt>
                  <c:pt idx="5">
                    <c:v>7.7176431432843737E-2</c:v>
                  </c:pt>
                  <c:pt idx="6">
                    <c:v>0.19313641432801273</c:v>
                  </c:pt>
                  <c:pt idx="7">
                    <c:v>7.7193783224698206E-2</c:v>
                  </c:pt>
                  <c:pt idx="8">
                    <c:v>0.38614263899952678</c:v>
                  </c:pt>
                  <c:pt idx="9">
                    <c:v>0.38588227416275822</c:v>
                  </c:pt>
                  <c:pt idx="10">
                    <c:v>0.23152931769846133</c:v>
                  </c:pt>
                  <c:pt idx="11">
                    <c:v>0.11580369380215222</c:v>
                  </c:pt>
                </c:numCache>
              </c:numRef>
            </c:plus>
            <c:minus>
              <c:numRef>
                <c:f>'20v5'!$V$48:$V$59</c:f>
                <c:numCache>
                  <c:formatCode>General</c:formatCode>
                  <c:ptCount val="12"/>
                  <c:pt idx="0">
                    <c:v>0.27285005937851542</c:v>
                  </c:pt>
                  <c:pt idx="1">
                    <c:v>0.79327713319129334</c:v>
                  </c:pt>
                  <c:pt idx="2">
                    <c:v>0.49831003996871709</c:v>
                  </c:pt>
                  <c:pt idx="3">
                    <c:v>0.13636737068268098</c:v>
                  </c:pt>
                  <c:pt idx="4">
                    <c:v>0.38588227416275822</c:v>
                  </c:pt>
                  <c:pt idx="5">
                    <c:v>7.7176431432843737E-2</c:v>
                  </c:pt>
                  <c:pt idx="6">
                    <c:v>0.19313641432801273</c:v>
                  </c:pt>
                  <c:pt idx="7">
                    <c:v>7.7193783224698206E-2</c:v>
                  </c:pt>
                  <c:pt idx="8">
                    <c:v>0.38614263899952678</c:v>
                  </c:pt>
                  <c:pt idx="9">
                    <c:v>0.38588227416275822</c:v>
                  </c:pt>
                  <c:pt idx="10">
                    <c:v>0.23152931769846133</c:v>
                  </c:pt>
                  <c:pt idx="11">
                    <c:v>0.11580369380215222</c:v>
                  </c:pt>
                </c:numCache>
              </c:numRef>
            </c:minus>
          </c:errBars>
          <c:xVal>
            <c:numRef>
              <c:f>'20v5'!$N$48:$N$59</c:f>
              <c:numCache>
                <c:formatCode>General</c:formatCode>
                <c:ptCount val="12"/>
                <c:pt idx="0">
                  <c:v>1.6666666666666666E-2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</c:v>
                </c:pt>
              </c:numCache>
            </c:numRef>
          </c:xVal>
          <c:yVal>
            <c:numRef>
              <c:f>'20v5'!$U$48:$U$59</c:f>
              <c:numCache>
                <c:formatCode>General</c:formatCode>
                <c:ptCount val="12"/>
                <c:pt idx="0">
                  <c:v>10.916847872218638</c:v>
                </c:pt>
                <c:pt idx="1">
                  <c:v>8.9080723306216978</c:v>
                </c:pt>
                <c:pt idx="2">
                  <c:v>7.8624955581184786</c:v>
                </c:pt>
                <c:pt idx="3">
                  <c:v>7.0300493947629361</c:v>
                </c:pt>
                <c:pt idx="4">
                  <c:v>6.2458095085387715</c:v>
                </c:pt>
                <c:pt idx="5">
                  <c:v>6.2459567185968545</c:v>
                </c:pt>
                <c:pt idx="6">
                  <c:v>6.0002262889144635</c:v>
                </c:pt>
                <c:pt idx="7">
                  <c:v>6.1913786047635808</c:v>
                </c:pt>
                <c:pt idx="8">
                  <c:v>6.0820381989671581</c:v>
                </c:pt>
                <c:pt idx="9">
                  <c:v>6.2458095085387715</c:v>
                </c:pt>
                <c:pt idx="10">
                  <c:v>6.245907648587381</c:v>
                </c:pt>
                <c:pt idx="11">
                  <c:v>6.1640772751732573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DE9-4CBA-BDF1-889E6BB07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72928"/>
        <c:axId val="111375104"/>
      </c:scatterChart>
      <c:scatterChart>
        <c:scatterStyle val="lineMarker"/>
        <c:varyColors val="0"/>
        <c:ser>
          <c:idx val="3"/>
          <c:order val="1"/>
          <c:tx>
            <c:v>3M (20C; cumulative CO2)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recirculation!$AJ$157:$AJ$163</c:f>
                <c:numCache>
                  <c:formatCode>General</c:formatCode>
                  <c:ptCount val="7"/>
                  <c:pt idx="0">
                    <c:v>8.3376425121214079E-4</c:v>
                  </c:pt>
                  <c:pt idx="1">
                    <c:v>1.5582328903521033E-3</c:v>
                  </c:pt>
                  <c:pt idx="2">
                    <c:v>3.1396471885887229E-3</c:v>
                  </c:pt>
                  <c:pt idx="3">
                    <c:v>4.0228692850596888E-2</c:v>
                  </c:pt>
                  <c:pt idx="4">
                    <c:v>4.2605909466062172E-2</c:v>
                  </c:pt>
                  <c:pt idx="5">
                    <c:v>4.3416495483808056E-2</c:v>
                  </c:pt>
                  <c:pt idx="6">
                    <c:v>4.8151758110069082E-2</c:v>
                  </c:pt>
                </c:numCache>
              </c:numRef>
            </c:plus>
            <c:minus>
              <c:numRef>
                <c:f>recirculation!$AJ$157:$AJ$163</c:f>
                <c:numCache>
                  <c:formatCode>General</c:formatCode>
                  <c:ptCount val="7"/>
                  <c:pt idx="0">
                    <c:v>8.3376425121214079E-4</c:v>
                  </c:pt>
                  <c:pt idx="1">
                    <c:v>1.5582328903521033E-3</c:v>
                  </c:pt>
                  <c:pt idx="2">
                    <c:v>3.1396471885887229E-3</c:v>
                  </c:pt>
                  <c:pt idx="3">
                    <c:v>4.0228692850596888E-2</c:v>
                  </c:pt>
                  <c:pt idx="4">
                    <c:v>4.2605909466062172E-2</c:v>
                  </c:pt>
                  <c:pt idx="5">
                    <c:v>4.3416495483808056E-2</c:v>
                  </c:pt>
                  <c:pt idx="6">
                    <c:v>4.8151758110069082E-2</c:v>
                  </c:pt>
                </c:numCache>
              </c:numRef>
            </c:minus>
          </c:errBars>
          <c:xVal>
            <c:numRef>
              <c:f>recirculation!$AL$157:$AL$163</c:f>
              <c:numCache>
                <c:formatCode>General</c:formatCode>
                <c:ptCount val="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</c:numCache>
            </c:numRef>
          </c:xVal>
          <c:yVal>
            <c:numRef>
              <c:f>recirculation!$AK$157:$AK$163</c:f>
              <c:numCache>
                <c:formatCode>General</c:formatCode>
                <c:ptCount val="7"/>
                <c:pt idx="0">
                  <c:v>1.5578634668177938E-2</c:v>
                </c:pt>
                <c:pt idx="1">
                  <c:v>0.14123394423742103</c:v>
                </c:pt>
                <c:pt idx="2">
                  <c:v>0.36117737703538844</c:v>
                </c:pt>
                <c:pt idx="3">
                  <c:v>0.52865782719062504</c:v>
                </c:pt>
                <c:pt idx="4">
                  <c:v>0.70092688050909513</c:v>
                </c:pt>
                <c:pt idx="5">
                  <c:v>0.83106240349035865</c:v>
                </c:pt>
                <c:pt idx="6">
                  <c:v>1.2263501488868584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E9-4CBA-BDF1-889E6BB07096}"/>
            </c:ext>
          </c:extLst>
        </c:ser>
        <c:ser>
          <c:idx val="1"/>
          <c:order val="2"/>
          <c:tx>
            <c:v>3M (5C; cumulative CO2)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'20v5'!$S$32:$S$43</c:f>
                <c:numCache>
                  <c:formatCode>General</c:formatCode>
                  <c:ptCount val="12"/>
                  <c:pt idx="0">
                    <c:v>1.5768453355099983E-4</c:v>
                  </c:pt>
                  <c:pt idx="1">
                    <c:v>2.7063748202817692E-2</c:v>
                  </c:pt>
                  <c:pt idx="2">
                    <c:v>4.4341801145509577E-2</c:v>
                  </c:pt>
                  <c:pt idx="3">
                    <c:v>4.5408729717698285E-2</c:v>
                  </c:pt>
                  <c:pt idx="4">
                    <c:v>3.7883091951131228E-4</c:v>
                  </c:pt>
                  <c:pt idx="5">
                    <c:v>2.2972607667438882E-3</c:v>
                  </c:pt>
                  <c:pt idx="6">
                    <c:v>4.3997417131661064E-3</c:v>
                  </c:pt>
                  <c:pt idx="7">
                    <c:v>1.723048353769592E-3</c:v>
                  </c:pt>
                  <c:pt idx="8">
                    <c:v>1.5112538989062113E-2</c:v>
                  </c:pt>
                  <c:pt idx="9">
                    <c:v>1.732076500862674E-3</c:v>
                  </c:pt>
                  <c:pt idx="10">
                    <c:v>9.7603523710209708E-3</c:v>
                  </c:pt>
                  <c:pt idx="11">
                    <c:v>2.8688719671485854E-2</c:v>
                  </c:pt>
                </c:numCache>
              </c:numRef>
            </c:plus>
            <c:minus>
              <c:numRef>
                <c:f>'20v5'!$S$32:$S$43</c:f>
                <c:numCache>
                  <c:formatCode>General</c:formatCode>
                  <c:ptCount val="12"/>
                  <c:pt idx="0">
                    <c:v>1.5768453355099983E-4</c:v>
                  </c:pt>
                  <c:pt idx="1">
                    <c:v>2.7063748202817692E-2</c:v>
                  </c:pt>
                  <c:pt idx="2">
                    <c:v>4.4341801145509577E-2</c:v>
                  </c:pt>
                  <c:pt idx="3">
                    <c:v>4.5408729717698285E-2</c:v>
                  </c:pt>
                  <c:pt idx="4">
                    <c:v>3.7883091951131228E-4</c:v>
                  </c:pt>
                  <c:pt idx="5">
                    <c:v>2.2972607667438882E-3</c:v>
                  </c:pt>
                  <c:pt idx="6">
                    <c:v>4.3997417131661064E-3</c:v>
                  </c:pt>
                  <c:pt idx="7">
                    <c:v>1.723048353769592E-3</c:v>
                  </c:pt>
                  <c:pt idx="8">
                    <c:v>1.5112538989062113E-2</c:v>
                  </c:pt>
                  <c:pt idx="9">
                    <c:v>1.732076500862674E-3</c:v>
                  </c:pt>
                  <c:pt idx="10">
                    <c:v>9.7603523710209708E-3</c:v>
                  </c:pt>
                  <c:pt idx="11">
                    <c:v>2.8688719671485854E-2</c:v>
                  </c:pt>
                </c:numCache>
              </c:numRef>
            </c:minus>
          </c:errBars>
          <c:xVal>
            <c:numRef>
              <c:f>'20v5'!$N$32:$N$43</c:f>
              <c:numCache>
                <c:formatCode>General</c:formatCode>
                <c:ptCount val="12"/>
                <c:pt idx="0">
                  <c:v>1.6666666666666666E-2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</c:v>
                </c:pt>
              </c:numCache>
            </c:numRef>
          </c:xVal>
          <c:yVal>
            <c:numRef>
              <c:f>'20v5'!$R$32:$R$43</c:f>
              <c:numCache>
                <c:formatCode>General</c:formatCode>
                <c:ptCount val="12"/>
                <c:pt idx="0">
                  <c:v>6.3090258015665625E-3</c:v>
                </c:pt>
                <c:pt idx="1">
                  <c:v>0.31004818853451832</c:v>
                </c:pt>
                <c:pt idx="2">
                  <c:v>0.58268011262923858</c:v>
                </c:pt>
                <c:pt idx="3">
                  <c:v>0.82644697759059593</c:v>
                </c:pt>
                <c:pt idx="4">
                  <c:v>1.0686941321845471</c:v>
                </c:pt>
                <c:pt idx="5">
                  <c:v>1.2852725945081434</c:v>
                </c:pt>
                <c:pt idx="6">
                  <c:v>1.4933303576011043</c:v>
                </c:pt>
                <c:pt idx="7">
                  <c:v>1.7080163245868225</c:v>
                </c:pt>
                <c:pt idx="8">
                  <c:v>1.918910914522693</c:v>
                </c:pt>
                <c:pt idx="9">
                  <c:v>2.1354842723395731</c:v>
                </c:pt>
                <c:pt idx="10">
                  <c:v>2.3520610331612737</c:v>
                </c:pt>
                <c:pt idx="11">
                  <c:v>2.5552553312976301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DE9-4CBA-BDF1-889E6BB07096}"/>
            </c:ext>
          </c:extLst>
        </c:ser>
        <c:ser>
          <c:idx val="8"/>
          <c:order val="4"/>
          <c:tx>
            <c:v>Solubility at 20C</c:v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recirculation!$M$243:$M$244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recirculation!$L$243:$L$244</c:f>
              <c:numCache>
                <c:formatCode>General</c:formatCode>
                <c:ptCount val="2"/>
                <c:pt idx="0">
                  <c:v>2.3199999999999998</c:v>
                </c:pt>
                <c:pt idx="1">
                  <c:v>2.3199999999999998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E9-4CBA-BDF1-889E6BB07096}"/>
            </c:ext>
          </c:extLst>
        </c:ser>
        <c:ser>
          <c:idx val="4"/>
          <c:order val="5"/>
          <c:tx>
            <c:v>Solubility 5C</c:v>
          </c:tx>
          <c:spPr>
            <a:ln w="12700">
              <a:solidFill>
                <a:srgbClr val="0070C0"/>
              </a:solidFill>
              <a:prstDash val="dashDot"/>
            </a:ln>
          </c:spPr>
          <c:marker>
            <c:symbol val="none"/>
          </c:marker>
          <c:xVal>
            <c:numRef>
              <c:f>recirculation!$J$379:$J$380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recirculation!$I$379:$I$380</c:f>
              <c:numCache>
                <c:formatCode>General</c:formatCode>
                <c:ptCount val="2"/>
                <c:pt idx="0">
                  <c:v>1.53</c:v>
                </c:pt>
                <c:pt idx="1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DE9-4CBA-BDF1-889E6BB07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557567"/>
        <c:axId val="896566303"/>
      </c:scatterChart>
      <c:valAx>
        <c:axId val="111372928"/>
        <c:scaling>
          <c:logBase val="10"/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000" b="0"/>
                </a:pPr>
                <a:r>
                  <a:rPr lang="en-GB" sz="1000" b="0"/>
                  <a:t>Time</a:t>
                </a:r>
                <a:r>
                  <a:rPr lang="en-GB" sz="1000" b="0" baseline="0"/>
                  <a:t> since absorbent recirulation commenced (hours)</a:t>
                </a:r>
                <a:endParaRPr lang="en-GB" sz="1000" b="0"/>
              </a:p>
            </c:rich>
          </c:tx>
          <c:layout>
            <c:manualLayout>
              <c:xMode val="edge"/>
              <c:yMode val="edge"/>
              <c:x val="0.35559753511412168"/>
              <c:y val="0.88018827725990678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lang="en-GB"/>
            </a:pPr>
            <a:endParaRPr lang="en-US"/>
          </a:p>
        </c:txPr>
        <c:crossAx val="111375104"/>
        <c:crossesAt val="1.0000000000000002E-2"/>
        <c:crossBetween val="midCat"/>
        <c:majorUnit val="10"/>
        <c:minorUnit val="1"/>
      </c:valAx>
      <c:valAx>
        <c:axId val="111375104"/>
        <c:scaling>
          <c:logBase val="10"/>
          <c:orientation val="minMax"/>
          <c:min val="1.000000000000000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GB" sz="1000" b="0" i="0" baseline="0">
                    <a:effectLst/>
                  </a:rPr>
                  <a:t>CO</a:t>
                </a:r>
                <a:r>
                  <a:rPr lang="en-GB" sz="1000" b="0" i="0" baseline="-25000">
                    <a:effectLst/>
                  </a:rPr>
                  <a:t>2</a:t>
                </a:r>
                <a:r>
                  <a:rPr lang="en-GB" sz="1000" b="0" i="0" baseline="0">
                    <a:effectLst/>
                  </a:rPr>
                  <a:t> Flux (x10</a:t>
                </a:r>
                <a:r>
                  <a:rPr lang="en-GB" sz="1000" b="0" i="0" baseline="30000">
                    <a:effectLst/>
                  </a:rPr>
                  <a:t>-3</a:t>
                </a:r>
                <a:r>
                  <a:rPr lang="en-GB" sz="1000" b="0" i="0" baseline="0">
                    <a:effectLst/>
                  </a:rPr>
                  <a:t> Mol CO</a:t>
                </a:r>
                <a:r>
                  <a:rPr lang="en-GB" sz="1000" b="0" i="0" baseline="-25000">
                    <a:effectLst/>
                  </a:rPr>
                  <a:t>2</a:t>
                </a:r>
                <a:r>
                  <a:rPr lang="en-GB" sz="1000" b="0" i="0" baseline="0">
                    <a:effectLst/>
                  </a:rPr>
                  <a:t> m</a:t>
                </a:r>
                <a:r>
                  <a:rPr lang="en-GB" sz="1000" b="0" i="0" baseline="30000">
                    <a:effectLst/>
                  </a:rPr>
                  <a:t>-2</a:t>
                </a:r>
                <a:r>
                  <a:rPr lang="en-GB" sz="1000" b="0" i="0" baseline="0">
                    <a:effectLst/>
                  </a:rPr>
                  <a:t> s</a:t>
                </a:r>
                <a:r>
                  <a:rPr lang="en-GB" sz="1000" b="0" i="0" baseline="30000">
                    <a:effectLst/>
                  </a:rPr>
                  <a:t>-1</a:t>
                </a:r>
                <a:r>
                  <a:rPr lang="en-GB" sz="1000" b="0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lang="en-GB"/>
            </a:pPr>
            <a:endParaRPr lang="en-US"/>
          </a:p>
        </c:txPr>
        <c:crossAx val="111372928"/>
        <c:crossesAt val="0"/>
        <c:crossBetween val="midCat"/>
        <c:majorUnit val="10"/>
        <c:minorUnit val="1"/>
      </c:valAx>
      <c:valAx>
        <c:axId val="896566303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Cumulative</a:t>
                </a:r>
                <a:r>
                  <a:rPr lang="en-GB" b="0" baseline="0"/>
                  <a:t> CO</a:t>
                </a:r>
                <a:r>
                  <a:rPr lang="en-GB" b="0" baseline="-25000"/>
                  <a:t>2</a:t>
                </a:r>
                <a:r>
                  <a:rPr lang="en-GB" b="0" baseline="0"/>
                  <a:t> absorbed (Mol CO</a:t>
                </a:r>
                <a:r>
                  <a:rPr lang="en-GB" b="0" baseline="-25000"/>
                  <a:t>2</a:t>
                </a:r>
                <a:r>
                  <a:rPr lang="en-GB" b="0" baseline="0"/>
                  <a:t> L</a:t>
                </a:r>
                <a:r>
                  <a:rPr lang="en-GB" b="0" baseline="30000"/>
                  <a:t>-1</a:t>
                </a:r>
                <a:r>
                  <a:rPr lang="en-GB" b="0" baseline="0"/>
                  <a:t>)</a:t>
                </a:r>
                <a:endParaRPr lang="en-GB" b="0"/>
              </a:p>
            </c:rich>
          </c:tx>
          <c:layout>
            <c:manualLayout>
              <c:xMode val="edge"/>
              <c:yMode val="edge"/>
              <c:x val="0.92987849887640839"/>
              <c:y val="0.32943166152927861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crossAx val="896557567"/>
        <c:crosses val="max"/>
        <c:crossBetween val="midCat"/>
      </c:valAx>
      <c:valAx>
        <c:axId val="89655756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96566303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8225766812016937E-2"/>
          <c:y val="0.57348627728549151"/>
          <c:w val="0.19023084309616317"/>
          <c:h val="0.17823129574672272"/>
        </c:manualLayout>
      </c:layout>
      <c:overlay val="0"/>
    </c:legend>
    <c:plotVisOnly val="1"/>
    <c:dispBlanksAs val="gap"/>
    <c:showDLblsOverMax val="0"/>
  </c:char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3742097028177E-2"/>
          <c:y val="0.10702295599707133"/>
          <c:w val="0.81656166755546833"/>
          <c:h val="0.71952231368613961"/>
        </c:manualLayout>
      </c:layout>
      <c:scatterChart>
        <c:scatterStyle val="lineMarker"/>
        <c:varyColors val="0"/>
        <c:ser>
          <c:idx val="2"/>
          <c:order val="0"/>
          <c:tx>
            <c:v>NH3 3M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chemeClr val="tx1"/>
              </a:solidFill>
              <a:ln w="50800">
                <a:noFill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'20v5'!$H$5:$H$12</c:f>
                <c:numCache>
                  <c:formatCode>General</c:formatCode>
                  <c:ptCount val="8"/>
                  <c:pt idx="0">
                    <c:v>0.9416191233757677</c:v>
                  </c:pt>
                  <c:pt idx="1">
                    <c:v>0.55030492577915002</c:v>
                  </c:pt>
                  <c:pt idx="2">
                    <c:v>0.85249352328750772</c:v>
                  </c:pt>
                  <c:pt idx="3">
                    <c:v>0.61781580470112174</c:v>
                  </c:pt>
                  <c:pt idx="4">
                    <c:v>0.12232021184564</c:v>
                  </c:pt>
                  <c:pt idx="5">
                    <c:v>1.0515683755295302</c:v>
                  </c:pt>
                  <c:pt idx="6">
                    <c:v>1.952034953145442</c:v>
                  </c:pt>
                  <c:pt idx="7">
                    <c:v>0.4374657579305723</c:v>
                  </c:pt>
                </c:numCache>
              </c:numRef>
            </c:plus>
            <c:minus>
              <c:numRef>
                <c:f>'20v5'!$H$5:$H$12</c:f>
                <c:numCache>
                  <c:formatCode>General</c:formatCode>
                  <c:ptCount val="8"/>
                  <c:pt idx="0">
                    <c:v>0.9416191233757677</c:v>
                  </c:pt>
                  <c:pt idx="1">
                    <c:v>0.55030492577915002</c:v>
                  </c:pt>
                  <c:pt idx="2">
                    <c:v>0.85249352328750772</c:v>
                  </c:pt>
                  <c:pt idx="3">
                    <c:v>0.61781580470112174</c:v>
                  </c:pt>
                  <c:pt idx="4">
                    <c:v>0.12232021184564</c:v>
                  </c:pt>
                  <c:pt idx="5">
                    <c:v>1.0515683755295302</c:v>
                  </c:pt>
                  <c:pt idx="6">
                    <c:v>1.952034953145442</c:v>
                  </c:pt>
                  <c:pt idx="7">
                    <c:v>0.4374657579305723</c:v>
                  </c:pt>
                </c:numCache>
              </c:numRef>
            </c:minus>
          </c:errBars>
          <c:xVal>
            <c:numRef>
              <c:f>recirculation!$A$64:$A$71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</c:numCache>
            </c:numRef>
          </c:xVal>
          <c:yVal>
            <c:numRef>
              <c:f>recirculation!$I$64:$I$71</c:f>
              <c:numCache>
                <c:formatCode>General</c:formatCode>
                <c:ptCount val="8"/>
                <c:pt idx="0">
                  <c:v>18.162837468694921</c:v>
                </c:pt>
                <c:pt idx="1">
                  <c:v>14.547151295834921</c:v>
                </c:pt>
                <c:pt idx="2">
                  <c:v>12.68937778221083</c:v>
                </c:pt>
                <c:pt idx="3">
                  <c:v>8.7637830411161524</c:v>
                </c:pt>
                <c:pt idx="4">
                  <c:v>6.6276642287046723</c:v>
                </c:pt>
                <c:pt idx="5">
                  <c:v>5.0053398170198493</c:v>
                </c:pt>
                <c:pt idx="6">
                  <c:v>3.8012889916842547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75-4F6E-AC09-28CFB0BDBC54}"/>
            </c:ext>
          </c:extLst>
        </c:ser>
        <c:ser>
          <c:idx val="1"/>
          <c:order val="1"/>
          <c:tx>
            <c:v>NH3 2.3M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50800">
                <a:noFill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recirculation!$BD$5:$BD$21</c:f>
                <c:numCache>
                  <c:formatCode>General</c:formatCode>
                  <c:ptCount val="17"/>
                  <c:pt idx="0">
                    <c:v>0.30696814312868248</c:v>
                  </c:pt>
                  <c:pt idx="1">
                    <c:v>0.12061017281297398</c:v>
                  </c:pt>
                  <c:pt idx="2">
                    <c:v>0.12185829437011782</c:v>
                  </c:pt>
                  <c:pt idx="3">
                    <c:v>8.5354148033546823E-2</c:v>
                  </c:pt>
                  <c:pt idx="4">
                    <c:v>0.11950863891365859</c:v>
                  </c:pt>
                  <c:pt idx="5">
                    <c:v>0.66787549687602055</c:v>
                  </c:pt>
                  <c:pt idx="6">
                    <c:v>0.6319733838704783</c:v>
                  </c:pt>
                  <c:pt idx="7">
                    <c:v>9.6555479408309539E-2</c:v>
                  </c:pt>
                  <c:pt idx="8">
                    <c:v>0.1372484106627509</c:v>
                  </c:pt>
                  <c:pt idx="9">
                    <c:v>0.3172306818261067</c:v>
                  </c:pt>
                  <c:pt idx="10">
                    <c:v>9.6843935164995468E-2</c:v>
                  </c:pt>
                  <c:pt idx="11">
                    <c:v>0.2500430314810958</c:v>
                  </c:pt>
                  <c:pt idx="12">
                    <c:v>0.13376145814399568</c:v>
                  </c:pt>
                  <c:pt idx="13">
                    <c:v>6.355019965095679E-2</c:v>
                  </c:pt>
                  <c:pt idx="14">
                    <c:v>0.28394751429667525</c:v>
                  </c:pt>
                  <c:pt idx="15">
                    <c:v>0.24808760188343654</c:v>
                  </c:pt>
                  <c:pt idx="16">
                    <c:v>9.5902906779834665E-2</c:v>
                  </c:pt>
                </c:numCache>
              </c:numRef>
            </c:plus>
            <c:minus>
              <c:numRef>
                <c:f>recirculation!$BD$5:$BD$21</c:f>
                <c:numCache>
                  <c:formatCode>General</c:formatCode>
                  <c:ptCount val="17"/>
                  <c:pt idx="0">
                    <c:v>0.30696814312868248</c:v>
                  </c:pt>
                  <c:pt idx="1">
                    <c:v>0.12061017281297398</c:v>
                  </c:pt>
                  <c:pt idx="2">
                    <c:v>0.12185829437011782</c:v>
                  </c:pt>
                  <c:pt idx="3">
                    <c:v>8.5354148033546823E-2</c:v>
                  </c:pt>
                  <c:pt idx="4">
                    <c:v>0.11950863891365859</c:v>
                  </c:pt>
                  <c:pt idx="5">
                    <c:v>0.66787549687602055</c:v>
                  </c:pt>
                  <c:pt idx="6">
                    <c:v>0.6319733838704783</c:v>
                  </c:pt>
                  <c:pt idx="7">
                    <c:v>9.6555479408309539E-2</c:v>
                  </c:pt>
                  <c:pt idx="8">
                    <c:v>0.1372484106627509</c:v>
                  </c:pt>
                  <c:pt idx="9">
                    <c:v>0.3172306818261067</c:v>
                  </c:pt>
                  <c:pt idx="10">
                    <c:v>9.6843935164995468E-2</c:v>
                  </c:pt>
                  <c:pt idx="11">
                    <c:v>0.2500430314810958</c:v>
                  </c:pt>
                  <c:pt idx="12">
                    <c:v>0.13376145814399568</c:v>
                  </c:pt>
                  <c:pt idx="13">
                    <c:v>6.355019965095679E-2</c:v>
                  </c:pt>
                  <c:pt idx="14">
                    <c:v>0.28394751429667525</c:v>
                  </c:pt>
                  <c:pt idx="15">
                    <c:v>0.24808760188343654</c:v>
                  </c:pt>
                  <c:pt idx="16">
                    <c:v>9.5902906779834665E-2</c:v>
                  </c:pt>
                </c:numCache>
              </c:numRef>
            </c:minus>
          </c:errBars>
          <c:xVal>
            <c:numRef>
              <c:f>recirculation!$AG$70:$AG$86</c:f>
              <c:numCache>
                <c:formatCode>General</c:formatCode>
                <c:ptCount val="1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  <c:pt idx="10">
                  <c:v>26</c:v>
                </c:pt>
                <c:pt idx="11">
                  <c:v>30</c:v>
                </c:pt>
                <c:pt idx="12">
                  <c:v>42</c:v>
                </c:pt>
                <c:pt idx="13">
                  <c:v>46</c:v>
                </c:pt>
                <c:pt idx="14">
                  <c:v>50</c:v>
                </c:pt>
                <c:pt idx="15">
                  <c:v>54</c:v>
                </c:pt>
                <c:pt idx="16">
                  <c:v>65</c:v>
                </c:pt>
              </c:numCache>
            </c:numRef>
          </c:xVal>
          <c:yVal>
            <c:numRef>
              <c:f>recirculation!$AO$70:$AO$86</c:f>
              <c:numCache>
                <c:formatCode>General</c:formatCode>
                <c:ptCount val="17"/>
                <c:pt idx="0">
                  <c:v>12.158117272136266</c:v>
                </c:pt>
                <c:pt idx="1">
                  <c:v>11.835750685606655</c:v>
                </c:pt>
                <c:pt idx="2">
                  <c:v>9.3949798180657247</c:v>
                </c:pt>
                <c:pt idx="3">
                  <c:v>6.6069458373754246</c:v>
                </c:pt>
                <c:pt idx="4">
                  <c:v>5.0745345875241705</c:v>
                </c:pt>
                <c:pt idx="5">
                  <c:v>4.1340068663012666</c:v>
                </c:pt>
                <c:pt idx="6">
                  <c:v>2.0710984851895793</c:v>
                </c:pt>
                <c:pt idx="7">
                  <c:v>1.9153163293600632</c:v>
                </c:pt>
                <c:pt idx="8">
                  <c:v>0.95646984886983988</c:v>
                </c:pt>
                <c:pt idx="9">
                  <c:v>0.52076605053500669</c:v>
                </c:pt>
                <c:pt idx="10">
                  <c:v>0.58969048758192999</c:v>
                </c:pt>
                <c:pt idx="11">
                  <c:v>0.69339876880239915</c:v>
                </c:pt>
                <c:pt idx="12">
                  <c:v>0.52544547590702462</c:v>
                </c:pt>
                <c:pt idx="13">
                  <c:v>0.45203652035787822</c:v>
                </c:pt>
                <c:pt idx="14">
                  <c:v>0.25592025370446753</c:v>
                </c:pt>
                <c:pt idx="15">
                  <c:v>7.8061424709093691E-2</c:v>
                </c:pt>
                <c:pt idx="16">
                  <c:v>0.13160979436545295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75-4F6E-AC09-28CFB0BDBC54}"/>
            </c:ext>
          </c:extLst>
        </c:ser>
        <c:ser>
          <c:idx val="0"/>
          <c:order val="2"/>
          <c:tx>
            <c:v>NH3 0.6M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 w="50800">
                <a:noFill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recirculation!$CG$5:$CG$15</c:f>
                <c:numCache>
                  <c:formatCode>General</c:formatCode>
                  <c:ptCount val="11"/>
                  <c:pt idx="0">
                    <c:v>0.2528787644630775</c:v>
                  </c:pt>
                  <c:pt idx="1">
                    <c:v>0.10097981826958236</c:v>
                  </c:pt>
                  <c:pt idx="2">
                    <c:v>0.13960750802145783</c:v>
                  </c:pt>
                  <c:pt idx="3">
                    <c:v>0.16770451798261443</c:v>
                  </c:pt>
                  <c:pt idx="4">
                    <c:v>0.32668241596615449</c:v>
                  </c:pt>
                  <c:pt idx="5">
                    <c:v>0.31769828685948215</c:v>
                  </c:pt>
                  <c:pt idx="6">
                    <c:v>0.18536767125171968</c:v>
                  </c:pt>
                  <c:pt idx="7">
                    <c:v>0.1331492068312633</c:v>
                  </c:pt>
                  <c:pt idx="8">
                    <c:v>6.1692562388509502E-2</c:v>
                  </c:pt>
                  <c:pt idx="9">
                    <c:v>8.0710086396584335E-2</c:v>
                  </c:pt>
                  <c:pt idx="10">
                    <c:v>7.9881393951255902E-2</c:v>
                  </c:pt>
                </c:numCache>
              </c:numRef>
            </c:plus>
            <c:minus>
              <c:numRef>
                <c:f>recirculation!$CG$5:$CG$15</c:f>
                <c:numCache>
                  <c:formatCode>General</c:formatCode>
                  <c:ptCount val="11"/>
                  <c:pt idx="0">
                    <c:v>0.2528787644630775</c:v>
                  </c:pt>
                  <c:pt idx="1">
                    <c:v>0.10097981826958236</c:v>
                  </c:pt>
                  <c:pt idx="2">
                    <c:v>0.13960750802145783</c:v>
                  </c:pt>
                  <c:pt idx="3">
                    <c:v>0.16770451798261443</c:v>
                  </c:pt>
                  <c:pt idx="4">
                    <c:v>0.32668241596615449</c:v>
                  </c:pt>
                  <c:pt idx="5">
                    <c:v>0.31769828685948215</c:v>
                  </c:pt>
                  <c:pt idx="6">
                    <c:v>0.18536767125171968</c:v>
                  </c:pt>
                  <c:pt idx="7">
                    <c:v>0.1331492068312633</c:v>
                  </c:pt>
                  <c:pt idx="8">
                    <c:v>6.1692562388509502E-2</c:v>
                  </c:pt>
                  <c:pt idx="9">
                    <c:v>8.0710086396584335E-2</c:v>
                  </c:pt>
                  <c:pt idx="10">
                    <c:v>7.9881393951255902E-2</c:v>
                  </c:pt>
                </c:numCache>
              </c:numRef>
            </c:minus>
          </c:errBars>
          <c:xVal>
            <c:numRef>
              <c:f>recirculation!$BI$70:$BI$80</c:f>
              <c:numCache>
                <c:formatCode>General</c:formatCode>
                <c:ptCount val="11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  <c:pt idx="10">
                  <c:v>26</c:v>
                </c:pt>
              </c:numCache>
            </c:numRef>
          </c:xVal>
          <c:yVal>
            <c:numRef>
              <c:f>recirculation!$BQ$70:$BQ$80</c:f>
              <c:numCache>
                <c:formatCode>General</c:formatCode>
                <c:ptCount val="11"/>
                <c:pt idx="0">
                  <c:v>3.1751171016959461</c:v>
                </c:pt>
                <c:pt idx="1">
                  <c:v>3.0986409425141868</c:v>
                </c:pt>
                <c:pt idx="2">
                  <c:v>2.414121398175479</c:v>
                </c:pt>
                <c:pt idx="3">
                  <c:v>1.8650420433093473</c:v>
                </c:pt>
                <c:pt idx="4">
                  <c:v>1.4904718444244265</c:v>
                </c:pt>
                <c:pt idx="5">
                  <c:v>1.1179186038958591</c:v>
                </c:pt>
                <c:pt idx="6">
                  <c:v>0.92749408869599015</c:v>
                </c:pt>
                <c:pt idx="7">
                  <c:v>0.52653270770010951</c:v>
                </c:pt>
                <c:pt idx="8">
                  <c:v>0.43478378001428497</c:v>
                </c:pt>
                <c:pt idx="9">
                  <c:v>5.6180510623799279E-2</c:v>
                </c:pt>
                <c:pt idx="10">
                  <c:v>4.05021322785519E-2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75-4F6E-AC09-28CFB0BDB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72928"/>
        <c:axId val="111375104"/>
      </c:scatterChart>
      <c:scatterChart>
        <c:scatterStyle val="lineMarker"/>
        <c:varyColors val="0"/>
        <c:ser>
          <c:idx val="3"/>
          <c:order val="3"/>
          <c:tx>
            <c:v>3M (cumulative CO2)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recirculation!$AJ$157:$AJ$163</c:f>
                <c:numCache>
                  <c:formatCode>General</c:formatCode>
                  <c:ptCount val="7"/>
                  <c:pt idx="0">
                    <c:v>8.3376425121214079E-4</c:v>
                  </c:pt>
                  <c:pt idx="1">
                    <c:v>1.5582328903521033E-3</c:v>
                  </c:pt>
                  <c:pt idx="2">
                    <c:v>3.1396471885887229E-3</c:v>
                  </c:pt>
                  <c:pt idx="3">
                    <c:v>4.0228692850596888E-2</c:v>
                  </c:pt>
                  <c:pt idx="4">
                    <c:v>4.2605909466062172E-2</c:v>
                  </c:pt>
                  <c:pt idx="5">
                    <c:v>4.3416495483808056E-2</c:v>
                  </c:pt>
                  <c:pt idx="6">
                    <c:v>4.8151758110069082E-2</c:v>
                  </c:pt>
                </c:numCache>
              </c:numRef>
            </c:plus>
            <c:minus>
              <c:numRef>
                <c:f>recirculation!$AJ$157:$AJ$163</c:f>
                <c:numCache>
                  <c:formatCode>General</c:formatCode>
                  <c:ptCount val="7"/>
                  <c:pt idx="0">
                    <c:v>8.3376425121214079E-4</c:v>
                  </c:pt>
                  <c:pt idx="1">
                    <c:v>1.5582328903521033E-3</c:v>
                  </c:pt>
                  <c:pt idx="2">
                    <c:v>3.1396471885887229E-3</c:v>
                  </c:pt>
                  <c:pt idx="3">
                    <c:v>4.0228692850596888E-2</c:v>
                  </c:pt>
                  <c:pt idx="4">
                    <c:v>4.2605909466062172E-2</c:v>
                  </c:pt>
                  <c:pt idx="5">
                    <c:v>4.3416495483808056E-2</c:v>
                  </c:pt>
                  <c:pt idx="6">
                    <c:v>4.8151758110069082E-2</c:v>
                  </c:pt>
                </c:numCache>
              </c:numRef>
            </c:minus>
          </c:errBars>
          <c:xVal>
            <c:numRef>
              <c:f>recirculation!$AL$157:$AL$163</c:f>
              <c:numCache>
                <c:formatCode>General</c:formatCode>
                <c:ptCount val="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</c:numCache>
            </c:numRef>
          </c:xVal>
          <c:yVal>
            <c:numRef>
              <c:f>recirculation!$AK$157:$AK$163</c:f>
              <c:numCache>
                <c:formatCode>General</c:formatCode>
                <c:ptCount val="7"/>
                <c:pt idx="0">
                  <c:v>1.5578634668177938E-2</c:v>
                </c:pt>
                <c:pt idx="1">
                  <c:v>0.14123394423742103</c:v>
                </c:pt>
                <c:pt idx="2">
                  <c:v>0.36117737703538844</c:v>
                </c:pt>
                <c:pt idx="3">
                  <c:v>0.52865782719062504</c:v>
                </c:pt>
                <c:pt idx="4">
                  <c:v>0.70092688050909513</c:v>
                </c:pt>
                <c:pt idx="5">
                  <c:v>0.83106240349035865</c:v>
                </c:pt>
                <c:pt idx="6">
                  <c:v>1.2263501488868584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FF-4526-BBB7-6F14ED70F17E}"/>
            </c:ext>
          </c:extLst>
        </c:ser>
        <c:ser>
          <c:idx val="4"/>
          <c:order val="4"/>
          <c:tx>
            <c:v>2.3M (cumulative CO2)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recirculation!$AJ$168:$AJ$184</c:f>
                <c:numCache>
                  <c:formatCode>General</c:formatCode>
                  <c:ptCount val="17"/>
                  <c:pt idx="0">
                    <c:v>2.9745214851105808E-4</c:v>
                  </c:pt>
                  <c:pt idx="1">
                    <c:v>8.6914738334000245E-4</c:v>
                  </c:pt>
                  <c:pt idx="2">
                    <c:v>2.8472010931750178E-3</c:v>
                  </c:pt>
                  <c:pt idx="3">
                    <c:v>2.932460762254402E-3</c:v>
                  </c:pt>
                  <c:pt idx="4">
                    <c:v>4.4009243462697365E-3</c:v>
                  </c:pt>
                  <c:pt idx="5">
                    <c:v>1.7377627610808966E-2</c:v>
                  </c:pt>
                  <c:pt idx="6">
                    <c:v>6.3186425593283926E-2</c:v>
                  </c:pt>
                  <c:pt idx="7">
                    <c:v>5.2421643595939711E-2</c:v>
                  </c:pt>
                  <c:pt idx="8">
                    <c:v>0.12038540174100482</c:v>
                  </c:pt>
                  <c:pt idx="9">
                    <c:v>9.6164135962181124E-2</c:v>
                  </c:pt>
                  <c:pt idx="10">
                    <c:v>8.8294872787917561E-2</c:v>
                  </c:pt>
                  <c:pt idx="11">
                    <c:v>8.6825824509769403E-2</c:v>
                  </c:pt>
                  <c:pt idx="12">
                    <c:v>0.11467187712499931</c:v>
                  </c:pt>
                  <c:pt idx="13">
                    <c:v>0.11634031011275681</c:v>
                  </c:pt>
                  <c:pt idx="14">
                    <c:v>9.3567488779429123E-2</c:v>
                  </c:pt>
                  <c:pt idx="15">
                    <c:v>0.11419492876976899</c:v>
                  </c:pt>
                  <c:pt idx="16">
                    <c:v>0.13821421734248529</c:v>
                  </c:pt>
                </c:numCache>
              </c:numRef>
            </c:plus>
            <c:minus>
              <c:numRef>
                <c:f>recirculation!$AJ$168:$AJ$184</c:f>
                <c:numCache>
                  <c:formatCode>General</c:formatCode>
                  <c:ptCount val="17"/>
                  <c:pt idx="0">
                    <c:v>2.9745214851105808E-4</c:v>
                  </c:pt>
                  <c:pt idx="1">
                    <c:v>8.6914738334000245E-4</c:v>
                  </c:pt>
                  <c:pt idx="2">
                    <c:v>2.8472010931750178E-3</c:v>
                  </c:pt>
                  <c:pt idx="3">
                    <c:v>2.932460762254402E-3</c:v>
                  </c:pt>
                  <c:pt idx="4">
                    <c:v>4.4009243462697365E-3</c:v>
                  </c:pt>
                  <c:pt idx="5">
                    <c:v>1.7377627610808966E-2</c:v>
                  </c:pt>
                  <c:pt idx="6">
                    <c:v>6.3186425593283926E-2</c:v>
                  </c:pt>
                  <c:pt idx="7">
                    <c:v>5.2421643595939711E-2</c:v>
                  </c:pt>
                  <c:pt idx="8">
                    <c:v>0.12038540174100482</c:v>
                  </c:pt>
                  <c:pt idx="9">
                    <c:v>9.6164135962181124E-2</c:v>
                  </c:pt>
                  <c:pt idx="10">
                    <c:v>8.8294872787917561E-2</c:v>
                  </c:pt>
                  <c:pt idx="11">
                    <c:v>8.6825824509769403E-2</c:v>
                  </c:pt>
                  <c:pt idx="12">
                    <c:v>0.11467187712499931</c:v>
                  </c:pt>
                  <c:pt idx="13">
                    <c:v>0.11634031011275681</c:v>
                  </c:pt>
                  <c:pt idx="14">
                    <c:v>9.3567488779429123E-2</c:v>
                  </c:pt>
                  <c:pt idx="15">
                    <c:v>0.11419492876976899</c:v>
                  </c:pt>
                  <c:pt idx="16">
                    <c:v>0.13821421734248529</c:v>
                  </c:pt>
                </c:numCache>
              </c:numRef>
            </c:minus>
          </c:errBars>
          <c:xVal>
            <c:numRef>
              <c:f>recirculation!$AL$168:$AL$184</c:f>
              <c:numCache>
                <c:formatCode>General</c:formatCode>
                <c:ptCount val="1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  <c:pt idx="10">
                  <c:v>26</c:v>
                </c:pt>
                <c:pt idx="11">
                  <c:v>30</c:v>
                </c:pt>
                <c:pt idx="12">
                  <c:v>42</c:v>
                </c:pt>
                <c:pt idx="13">
                  <c:v>46</c:v>
                </c:pt>
                <c:pt idx="14">
                  <c:v>50</c:v>
                </c:pt>
                <c:pt idx="15">
                  <c:v>54</c:v>
                </c:pt>
                <c:pt idx="16">
                  <c:v>65</c:v>
                </c:pt>
              </c:numCache>
            </c:numRef>
          </c:xVal>
          <c:yVal>
            <c:numRef>
              <c:f>recirculation!$AK$168:$AK$184</c:f>
              <c:numCache>
                <c:formatCode>General</c:formatCode>
                <c:ptCount val="17"/>
                <c:pt idx="0">
                  <c:v>1.0576276849571489E-2</c:v>
                </c:pt>
                <c:pt idx="1">
                  <c:v>0.1028892521699275</c:v>
                </c:pt>
                <c:pt idx="2">
                  <c:v>0.26572410294569393</c:v>
                </c:pt>
                <c:pt idx="3">
                  <c:v>0.43750029608260343</c:v>
                </c:pt>
                <c:pt idx="4">
                  <c:v>0.56942345012694007</c:v>
                </c:pt>
                <c:pt idx="5">
                  <c:v>0.67631706366367594</c:v>
                </c:pt>
                <c:pt idx="6">
                  <c:v>0.85846559640117359</c:v>
                </c:pt>
                <c:pt idx="7">
                  <c:v>1.0576220384804405</c:v>
                </c:pt>
                <c:pt idx="8">
                  <c:v>1.6539748394703337</c:v>
                </c:pt>
                <c:pt idx="9">
                  <c:v>1.7613866809841383</c:v>
                </c:pt>
                <c:pt idx="10">
                  <c:v>1.8839628356649274</c:v>
                </c:pt>
                <c:pt idx="11">
                  <c:v>2.0436233929821244</c:v>
                </c:pt>
                <c:pt idx="12">
                  <c:v>2.3710405419596463</c:v>
                </c:pt>
                <c:pt idx="13">
                  <c:v>2.4650316705398887</c:v>
                </c:pt>
                <c:pt idx="14">
                  <c:v>2.5235115391895073</c:v>
                </c:pt>
                <c:pt idx="15">
                  <c:v>2.5450206044608512</c:v>
                </c:pt>
                <c:pt idx="16">
                  <c:v>2.6200850318785709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FF-4526-BBB7-6F14ED70F17E}"/>
            </c:ext>
          </c:extLst>
        </c:ser>
        <c:ser>
          <c:idx val="5"/>
          <c:order val="5"/>
          <c:tx>
            <c:v>0.6M (cumulative CO2)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recirculation!$AJ$190:$AJ$200</c:f>
                <c:numCache>
                  <c:formatCode>General</c:formatCode>
                  <c:ptCount val="11"/>
                  <c:pt idx="0">
                    <c:v>2.4503953744421642E-4</c:v>
                  </c:pt>
                  <c:pt idx="1">
                    <c:v>1.0848408060203892E-3</c:v>
                  </c:pt>
                  <c:pt idx="2">
                    <c:v>3.61207371535056E-3</c:v>
                  </c:pt>
                  <c:pt idx="3">
                    <c:v>7.8871794298844382E-3</c:v>
                  </c:pt>
                  <c:pt idx="4">
                    <c:v>1.2841621164546129E-2</c:v>
                  </c:pt>
                  <c:pt idx="5">
                    <c:v>1.3099885522918672E-2</c:v>
                  </c:pt>
                  <c:pt idx="6">
                    <c:v>2.6513929755402833E-2</c:v>
                  </c:pt>
                  <c:pt idx="7">
                    <c:v>3.7286891625278186E-2</c:v>
                  </c:pt>
                  <c:pt idx="8">
                    <c:v>7.5814821795737203E-2</c:v>
                  </c:pt>
                  <c:pt idx="9">
                    <c:v>8.5079817060823987E-2</c:v>
                  </c:pt>
                  <c:pt idx="10">
                    <c:v>9.6649978315451537E-2</c:v>
                  </c:pt>
                </c:numCache>
              </c:numRef>
            </c:plus>
            <c:minus>
              <c:numRef>
                <c:f>recirculation!$AJ$190:$AJ$200</c:f>
                <c:numCache>
                  <c:formatCode>General</c:formatCode>
                  <c:ptCount val="11"/>
                  <c:pt idx="0">
                    <c:v>2.4503953744421642E-4</c:v>
                  </c:pt>
                  <c:pt idx="1">
                    <c:v>1.0848408060203892E-3</c:v>
                  </c:pt>
                  <c:pt idx="2">
                    <c:v>3.61207371535056E-3</c:v>
                  </c:pt>
                  <c:pt idx="3">
                    <c:v>7.8871794298844382E-3</c:v>
                  </c:pt>
                  <c:pt idx="4">
                    <c:v>1.2841621164546129E-2</c:v>
                  </c:pt>
                  <c:pt idx="5">
                    <c:v>1.3099885522918672E-2</c:v>
                  </c:pt>
                  <c:pt idx="6">
                    <c:v>2.6513929755402833E-2</c:v>
                  </c:pt>
                  <c:pt idx="7">
                    <c:v>3.7286891625278186E-2</c:v>
                  </c:pt>
                  <c:pt idx="8">
                    <c:v>7.5814821795737203E-2</c:v>
                  </c:pt>
                  <c:pt idx="9">
                    <c:v>8.5079817060823987E-2</c:v>
                  </c:pt>
                  <c:pt idx="10">
                    <c:v>9.6649978315451537E-2</c:v>
                  </c:pt>
                </c:numCache>
              </c:numRef>
            </c:minus>
          </c:errBars>
          <c:xVal>
            <c:numRef>
              <c:f>recirculation!$AL$190:$AL$199</c:f>
              <c:numCache>
                <c:formatCode>General</c:formatCode>
                <c:ptCount val="10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</c:numCache>
            </c:numRef>
          </c:xVal>
          <c:yVal>
            <c:numRef>
              <c:f>recirculation!$AK$190:$AK$200</c:f>
              <c:numCache>
                <c:formatCode>General</c:formatCode>
                <c:ptCount val="11"/>
                <c:pt idx="0">
                  <c:v>2.7080464181006955E-3</c:v>
                </c:pt>
                <c:pt idx="1">
                  <c:v>2.6874372590711394E-2</c:v>
                </c:pt>
                <c:pt idx="2">
                  <c:v>6.8704347047841327E-2</c:v>
                </c:pt>
                <c:pt idx="3">
                  <c:v>0.11716275132309903</c:v>
                </c:pt>
                <c:pt idx="4">
                  <c:v>0.15578955054282079</c:v>
                </c:pt>
                <c:pt idx="5">
                  <c:v>0.18473775696565983</c:v>
                </c:pt>
                <c:pt idx="6">
                  <c:v>0.28103962144456834</c:v>
                </c:pt>
                <c:pt idx="7">
                  <c:v>0.33571964275564786</c:v>
                </c:pt>
                <c:pt idx="8">
                  <c:v>0.60693183455471877</c:v>
                </c:pt>
                <c:pt idx="9">
                  <c:v>0.61855978932596334</c:v>
                </c:pt>
                <c:pt idx="10">
                  <c:v>0.6269276182065604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FF-4526-BBB7-6F14ED70F17E}"/>
            </c:ext>
          </c:extLst>
        </c:ser>
        <c:ser>
          <c:idx val="6"/>
          <c:order val="6"/>
          <c:spPr>
            <a:ln w="12700">
              <a:solidFill>
                <a:srgbClr val="FF0000"/>
              </a:solidFill>
              <a:prstDash val="dashDot"/>
            </a:ln>
          </c:spPr>
          <c:marker>
            <c:symbol val="none"/>
          </c:marker>
          <c:xVal>
            <c:numRef>
              <c:f>recirculation!$O$240:$O$241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xVal>
          <c:yVal>
            <c:numRef>
              <c:f>recirculation!$P$240:$P$241</c:f>
              <c:numCache>
                <c:formatCode>General</c:formatCode>
                <c:ptCount val="2"/>
                <c:pt idx="0">
                  <c:v>1.226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FF-4526-BBB7-6F14ED70F17E}"/>
            </c:ext>
          </c:extLst>
        </c:ser>
        <c:ser>
          <c:idx val="7"/>
          <c:order val="7"/>
          <c:spPr>
            <a:ln w="12700">
              <a:solidFill>
                <a:srgbClr val="FF0000"/>
              </a:solidFill>
              <a:prstDash val="dashDot"/>
            </a:ln>
          </c:spPr>
          <c:marker>
            <c:symbol val="none"/>
          </c:marker>
          <c:xVal>
            <c:numRef>
              <c:f>recirculation!$O$239:$O$240</c:f>
              <c:numCache>
                <c:formatCode>General</c:formatCode>
                <c:ptCount val="2"/>
                <c:pt idx="0">
                  <c:v>100</c:v>
                </c:pt>
                <c:pt idx="1">
                  <c:v>4</c:v>
                </c:pt>
              </c:numCache>
            </c:numRef>
          </c:xVal>
          <c:yVal>
            <c:numRef>
              <c:f>recirculation!$P$239:$P$240</c:f>
              <c:numCache>
                <c:formatCode>General</c:formatCode>
                <c:ptCount val="2"/>
                <c:pt idx="0">
                  <c:v>1.226</c:v>
                </c:pt>
                <c:pt idx="1">
                  <c:v>1.226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FF-4526-BBB7-6F14ED70F17E}"/>
            </c:ext>
          </c:extLst>
        </c:ser>
        <c:ser>
          <c:idx val="8"/>
          <c:order val="8"/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recirculation!$M$243:$M$244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recirculation!$L$243:$L$244</c:f>
              <c:numCache>
                <c:formatCode>General</c:formatCode>
                <c:ptCount val="2"/>
                <c:pt idx="0">
                  <c:v>2.3199999999999998</c:v>
                </c:pt>
                <c:pt idx="1">
                  <c:v>2.3199999999999998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0FF-4526-BBB7-6F14ED70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557567"/>
        <c:axId val="896566303"/>
      </c:scatterChart>
      <c:valAx>
        <c:axId val="111372928"/>
        <c:scaling>
          <c:logBase val="10"/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000" b="0"/>
                </a:pPr>
                <a:r>
                  <a:rPr lang="en-GB" sz="1000" b="0"/>
                  <a:t>Time</a:t>
                </a:r>
                <a:r>
                  <a:rPr lang="en-GB" sz="1000" b="0" baseline="0"/>
                  <a:t> since absorbent recirulation commenced (hours)</a:t>
                </a:r>
                <a:endParaRPr lang="en-GB" sz="1000" b="0"/>
              </a:p>
            </c:rich>
          </c:tx>
          <c:layout>
            <c:manualLayout>
              <c:xMode val="edge"/>
              <c:yMode val="edge"/>
              <c:x val="0.35559753511412168"/>
              <c:y val="0.88018827725990678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lang="en-GB"/>
            </a:pPr>
            <a:endParaRPr lang="en-US"/>
          </a:p>
        </c:txPr>
        <c:crossAx val="111375104"/>
        <c:crossesAt val="1.0000000000000002E-2"/>
        <c:crossBetween val="midCat"/>
        <c:majorUnit val="10"/>
        <c:minorUnit val="1"/>
      </c:valAx>
      <c:valAx>
        <c:axId val="111375104"/>
        <c:scaling>
          <c:logBase val="10"/>
          <c:orientation val="minMax"/>
          <c:min val="1.000000000000000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GB" sz="1000" b="0" i="0" baseline="0">
                    <a:effectLst/>
                  </a:rPr>
                  <a:t>CO</a:t>
                </a:r>
                <a:r>
                  <a:rPr lang="en-GB" sz="1000" b="0" i="0" baseline="-25000">
                    <a:effectLst/>
                  </a:rPr>
                  <a:t>2</a:t>
                </a:r>
                <a:r>
                  <a:rPr lang="en-GB" sz="1000" b="0" i="0" baseline="0">
                    <a:effectLst/>
                  </a:rPr>
                  <a:t> Flux (x10</a:t>
                </a:r>
                <a:r>
                  <a:rPr lang="en-GB" sz="1000" b="0" i="0" baseline="30000">
                    <a:effectLst/>
                  </a:rPr>
                  <a:t>-3</a:t>
                </a:r>
                <a:r>
                  <a:rPr lang="en-GB" sz="1000" b="0" i="0" baseline="0">
                    <a:effectLst/>
                  </a:rPr>
                  <a:t> Mol CO</a:t>
                </a:r>
                <a:r>
                  <a:rPr lang="en-GB" sz="1000" b="0" i="0" baseline="-25000">
                    <a:effectLst/>
                  </a:rPr>
                  <a:t>2</a:t>
                </a:r>
                <a:r>
                  <a:rPr lang="en-GB" sz="1000" b="0" i="0" baseline="0">
                    <a:effectLst/>
                  </a:rPr>
                  <a:t> m</a:t>
                </a:r>
                <a:r>
                  <a:rPr lang="en-GB" sz="1000" b="0" i="0" baseline="30000">
                    <a:effectLst/>
                  </a:rPr>
                  <a:t>-2</a:t>
                </a:r>
                <a:r>
                  <a:rPr lang="en-GB" sz="1000" b="0" i="0" baseline="0">
                    <a:effectLst/>
                  </a:rPr>
                  <a:t> s</a:t>
                </a:r>
                <a:r>
                  <a:rPr lang="en-GB" sz="1000" b="0" i="0" baseline="30000">
                    <a:effectLst/>
                  </a:rPr>
                  <a:t>-1</a:t>
                </a:r>
                <a:r>
                  <a:rPr lang="en-GB" sz="1000" b="0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lang="en-GB"/>
            </a:pPr>
            <a:endParaRPr lang="en-US"/>
          </a:p>
        </c:txPr>
        <c:crossAx val="111372928"/>
        <c:crossesAt val="0"/>
        <c:crossBetween val="midCat"/>
        <c:majorUnit val="10"/>
        <c:minorUnit val="1"/>
      </c:valAx>
      <c:valAx>
        <c:axId val="896566303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Cumulative</a:t>
                </a:r>
                <a:r>
                  <a:rPr lang="en-GB" b="0" baseline="0"/>
                  <a:t> CO</a:t>
                </a:r>
                <a:r>
                  <a:rPr lang="en-GB" b="0" baseline="-25000"/>
                  <a:t>2</a:t>
                </a:r>
                <a:r>
                  <a:rPr lang="en-GB" b="0" baseline="0"/>
                  <a:t> absorbed (Mol CO</a:t>
                </a:r>
                <a:r>
                  <a:rPr lang="en-GB" b="0" baseline="-25000"/>
                  <a:t>2</a:t>
                </a:r>
                <a:r>
                  <a:rPr lang="en-GB" b="0" baseline="0"/>
                  <a:t> L</a:t>
                </a:r>
                <a:r>
                  <a:rPr lang="en-GB" b="0" baseline="30000"/>
                  <a:t>-1</a:t>
                </a:r>
                <a:r>
                  <a:rPr lang="en-GB" b="0" baseline="0"/>
                  <a:t>)</a:t>
                </a:r>
                <a:endParaRPr lang="en-GB" b="0"/>
              </a:p>
            </c:rich>
          </c:tx>
          <c:layout>
            <c:manualLayout>
              <c:xMode val="edge"/>
              <c:yMode val="edge"/>
              <c:x val="0.92987849887640839"/>
              <c:y val="0.32943166152927861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crossAx val="896557567"/>
        <c:crosses val="max"/>
        <c:crossBetween val="midCat"/>
      </c:valAx>
      <c:valAx>
        <c:axId val="89655756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96566303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8.6499382573375638E-2"/>
          <c:y val="0.59529198708577624"/>
          <c:w val="0.14690320411921909"/>
          <c:h val="0.1784465240172726"/>
        </c:manualLayout>
      </c:layout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/>
            </a:pPr>
            <a:r>
              <a:rPr lang="en-US" sz="1000" b="1" i="0" baseline="0">
                <a:effectLst/>
              </a:rPr>
              <a:t>Recirculations; Ql=4.55ml/min; Qg=50ml/min; VOL liq=100ml</a:t>
            </a:r>
            <a:endParaRPr lang="en-GB" sz="1000">
              <a:effectLst/>
            </a:endParaRPr>
          </a:p>
        </c:rich>
      </c:tx>
      <c:layout>
        <c:manualLayout>
          <c:xMode val="edge"/>
          <c:yMode val="edge"/>
          <c:x val="0.38387376912849974"/>
          <c:y val="2.7777777777777776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NH3 3M</c:v>
          </c:tx>
          <c:spPr>
            <a:ln w="28575">
              <a:noFill/>
            </a:ln>
          </c:spPr>
          <c:marker>
            <c:symbol val="diamond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recirculation!$AB$120:$AB$126</c:f>
                <c:numCache>
                  <c:formatCode>General</c:formatCode>
                  <c:ptCount val="7"/>
                  <c:pt idx="0">
                    <c:v>3.214402660206134E-4</c:v>
                  </c:pt>
                  <c:pt idx="1">
                    <c:v>6.0074390820746241E-4</c:v>
                  </c:pt>
                  <c:pt idx="2">
                    <c:v>1.2104249205259544E-3</c:v>
                  </c:pt>
                  <c:pt idx="3">
                    <c:v>1.550932618274042E-2</c:v>
                  </c:pt>
                  <c:pt idx="4">
                    <c:v>1.6425812036089095E-2</c:v>
                  </c:pt>
                  <c:pt idx="5">
                    <c:v>1.6738316421828867E-2</c:v>
                  </c:pt>
                  <c:pt idx="6">
                    <c:v>1.8563897305213989E-2</c:v>
                  </c:pt>
                </c:numCache>
              </c:numRef>
            </c:plus>
            <c:minus>
              <c:numRef>
                <c:f>recirculation!$AB$120:$AB$126</c:f>
                <c:numCache>
                  <c:formatCode>General</c:formatCode>
                  <c:ptCount val="7"/>
                  <c:pt idx="0">
                    <c:v>3.214402660206134E-4</c:v>
                  </c:pt>
                  <c:pt idx="1">
                    <c:v>6.0074390820746241E-4</c:v>
                  </c:pt>
                  <c:pt idx="2">
                    <c:v>1.2104249205259544E-3</c:v>
                  </c:pt>
                  <c:pt idx="3">
                    <c:v>1.550932618274042E-2</c:v>
                  </c:pt>
                  <c:pt idx="4">
                    <c:v>1.6425812036089095E-2</c:v>
                  </c:pt>
                  <c:pt idx="5">
                    <c:v>1.6738316421828867E-2</c:v>
                  </c:pt>
                  <c:pt idx="6">
                    <c:v>1.8563897305213989E-2</c:v>
                  </c:pt>
                </c:numCache>
              </c:numRef>
            </c:minus>
          </c:errBars>
          <c:xVal>
            <c:numRef>
              <c:f>recirculation!$F$120:$F$127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</c:numCache>
            </c:numRef>
          </c:xVal>
          <c:yVal>
            <c:numRef>
              <c:f>recirculation!$J$120:$J$127</c:f>
              <c:numCache>
                <c:formatCode>General</c:formatCode>
                <c:ptCount val="8"/>
                <c:pt idx="0">
                  <c:v>6.7852289802232272E-3</c:v>
                </c:pt>
                <c:pt idx="1">
                  <c:v>5.5695635985784059E-2</c:v>
                </c:pt>
                <c:pt idx="2">
                  <c:v>0.15050497843269897</c:v>
                </c:pt>
                <c:pt idx="3">
                  <c:v>0.24872356586893221</c:v>
                </c:pt>
                <c:pt idx="4">
                  <c:v>0.32300197001141073</c:v>
                </c:pt>
                <c:pt idx="5">
                  <c:v>0.37909845302103706</c:v>
                </c:pt>
                <c:pt idx="6">
                  <c:v>0.54950761693962724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3A-4D8D-AA2E-494DE23C8757}"/>
            </c:ext>
          </c:extLst>
        </c:ser>
        <c:ser>
          <c:idx val="1"/>
          <c:order val="1"/>
          <c:tx>
            <c:v>NH3 2.3M</c:v>
          </c:tx>
          <c:spPr>
            <a:ln w="28575">
              <a:noFill/>
            </a:ln>
          </c:spPr>
          <c:marker>
            <c:symbol val="square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recirculation!$BJ$120:$BJ$136</c:f>
                <c:numCache>
                  <c:formatCode>General</c:formatCode>
                  <c:ptCount val="17"/>
                  <c:pt idx="0">
                    <c:v>1.146764179524263E-4</c:v>
                  </c:pt>
                  <c:pt idx="1">
                    <c:v>3.3508148820936496E-4</c:v>
                  </c:pt>
                  <c:pt idx="2">
                    <c:v>1.0976784810260462E-3</c:v>
                  </c:pt>
                  <c:pt idx="3">
                    <c:v>1.1305485527158066E-3</c:v>
                  </c:pt>
                  <c:pt idx="4">
                    <c:v>1.6966837934643054E-3</c:v>
                  </c:pt>
                  <c:pt idx="5">
                    <c:v>6.6995787285252005E-3</c:v>
                  </c:pt>
                  <c:pt idx="6">
                    <c:v>2.4360197048588848E-2</c:v>
                  </c:pt>
                  <c:pt idx="7">
                    <c:v>2.0210061822894438E-2</c:v>
                  </c:pt>
                  <c:pt idx="8">
                    <c:v>4.6412058929570406E-2</c:v>
                  </c:pt>
                  <c:pt idx="9">
                    <c:v>3.7074059484304998E-2</c:v>
                  </c:pt>
                  <c:pt idx="10">
                    <c:v>3.4040230623875845E-2</c:v>
                  </c:pt>
                  <c:pt idx="11">
                    <c:v>3.347386996660548E-2</c:v>
                  </c:pt>
                  <c:pt idx="12">
                    <c:v>4.4209329717069222E-2</c:v>
                  </c:pt>
                  <c:pt idx="13">
                    <c:v>4.4852558954401822E-2</c:v>
                  </c:pt>
                  <c:pt idx="14">
                    <c:v>3.6072976792198654E-2</c:v>
                  </c:pt>
                  <c:pt idx="15">
                    <c:v>4.402545231292241E-2</c:v>
                  </c:pt>
                  <c:pt idx="16">
                    <c:v>5.3285583695642652E-2</c:v>
                  </c:pt>
                </c:numCache>
              </c:numRef>
            </c:plus>
            <c:minus>
              <c:numRef>
                <c:f>recirculation!$BJ$120:$BJ$136</c:f>
                <c:numCache>
                  <c:formatCode>General</c:formatCode>
                  <c:ptCount val="17"/>
                  <c:pt idx="0">
                    <c:v>1.146764179524263E-4</c:v>
                  </c:pt>
                  <c:pt idx="1">
                    <c:v>3.3508148820936496E-4</c:v>
                  </c:pt>
                  <c:pt idx="2">
                    <c:v>1.0976784810260462E-3</c:v>
                  </c:pt>
                  <c:pt idx="3">
                    <c:v>1.1305485527158066E-3</c:v>
                  </c:pt>
                  <c:pt idx="4">
                    <c:v>1.6966837934643054E-3</c:v>
                  </c:pt>
                  <c:pt idx="5">
                    <c:v>6.6995787285252005E-3</c:v>
                  </c:pt>
                  <c:pt idx="6">
                    <c:v>2.4360197048588848E-2</c:v>
                  </c:pt>
                  <c:pt idx="7">
                    <c:v>2.0210061822894438E-2</c:v>
                  </c:pt>
                  <c:pt idx="8">
                    <c:v>4.6412058929570406E-2</c:v>
                  </c:pt>
                  <c:pt idx="9">
                    <c:v>3.7074059484304998E-2</c:v>
                  </c:pt>
                  <c:pt idx="10">
                    <c:v>3.4040230623875845E-2</c:v>
                  </c:pt>
                  <c:pt idx="11">
                    <c:v>3.347386996660548E-2</c:v>
                  </c:pt>
                  <c:pt idx="12">
                    <c:v>4.4209329717069222E-2</c:v>
                  </c:pt>
                  <c:pt idx="13">
                    <c:v>4.4852558954401822E-2</c:v>
                  </c:pt>
                  <c:pt idx="14">
                    <c:v>3.6072976792198654E-2</c:v>
                  </c:pt>
                  <c:pt idx="15">
                    <c:v>4.402545231292241E-2</c:v>
                  </c:pt>
                  <c:pt idx="16">
                    <c:v>5.3285583695642652E-2</c:v>
                  </c:pt>
                </c:numCache>
              </c:numRef>
            </c:minus>
          </c:errBars>
          <c:xVal>
            <c:numRef>
              <c:f>recirculation!$AK$120:$AK$136</c:f>
              <c:numCache>
                <c:formatCode>General</c:formatCode>
                <c:ptCount val="1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  <c:pt idx="10">
                  <c:v>26</c:v>
                </c:pt>
                <c:pt idx="11">
                  <c:v>30</c:v>
                </c:pt>
                <c:pt idx="12">
                  <c:v>42</c:v>
                </c:pt>
                <c:pt idx="13">
                  <c:v>46</c:v>
                </c:pt>
                <c:pt idx="14">
                  <c:v>50</c:v>
                </c:pt>
                <c:pt idx="15">
                  <c:v>54</c:v>
                </c:pt>
                <c:pt idx="16">
                  <c:v>65</c:v>
                </c:pt>
              </c:numCache>
            </c:numRef>
          </c:xVal>
          <c:yVal>
            <c:numRef>
              <c:f>recirculation!$AO$120:$AO$136</c:f>
              <c:numCache>
                <c:formatCode>General</c:formatCode>
                <c:ptCount val="17"/>
                <c:pt idx="0">
                  <c:v>4.5420001033450444E-3</c:v>
                </c:pt>
                <c:pt idx="1">
                  <c:v>4.4336140652025041E-2</c:v>
                </c:pt>
                <c:pt idx="2">
                  <c:v>0.11453121830993508</c:v>
                </c:pt>
                <c:pt idx="3">
                  <c:v>0.18857742465372748</c:v>
                </c:pt>
                <c:pt idx="4">
                  <c:v>0.24544939612364816</c:v>
                </c:pt>
                <c:pt idx="5">
                  <c:v>0.29178056531791507</c:v>
                </c:pt>
                <c:pt idx="6">
                  <c:v>0.38462648206518102</c:v>
                </c:pt>
                <c:pt idx="7">
                  <c:v>0.47048879220257939</c:v>
                </c:pt>
                <c:pt idx="8">
                  <c:v>0.72775609434531774</c:v>
                </c:pt>
                <c:pt idx="9">
                  <c:v>0.77444726013828569</c:v>
                </c:pt>
                <c:pt idx="10">
                  <c:v>0.82731809588869187</c:v>
                </c:pt>
                <c:pt idx="11">
                  <c:v>0.88948727308742004</c:v>
                </c:pt>
                <c:pt idx="12">
                  <c:v>1.0308194229397498</c:v>
                </c:pt>
                <c:pt idx="13">
                  <c:v>1.0713483938563886</c:v>
                </c:pt>
                <c:pt idx="14">
                  <c:v>1.0942938508100777</c:v>
                </c:pt>
                <c:pt idx="15">
                  <c:v>1.1012927304785645</c:v>
                </c:pt>
                <c:pt idx="16">
                  <c:v>1.1337426002167175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3A-4D8D-AA2E-494DE23C8757}"/>
            </c:ext>
          </c:extLst>
        </c:ser>
        <c:ser>
          <c:idx val="2"/>
          <c:order val="2"/>
          <c:tx>
            <c:v>NH3 0.6M</c:v>
          </c:tx>
          <c:spPr>
            <a:ln w="28575">
              <a:noFill/>
            </a:ln>
          </c:spPr>
          <c:marker>
            <c:symbol val="triangle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recirculation!$CM$120:$CM$130</c:f>
                <c:numCache>
                  <c:formatCode>General</c:formatCode>
                  <c:ptCount val="11"/>
                  <c:pt idx="0">
                    <c:v>9.4469838431098833E-5</c:v>
                  </c:pt>
                  <c:pt idx="1">
                    <c:v>4.182375494874575E-4</c:v>
                  </c:pt>
                  <c:pt idx="2">
                    <c:v>1.3925590288386329E-3</c:v>
                  </c:pt>
                  <c:pt idx="3">
                    <c:v>3.0407360958551108E-3</c:v>
                  </c:pt>
                  <c:pt idx="4">
                    <c:v>4.9508168733146812E-3</c:v>
                  </c:pt>
                  <c:pt idx="5">
                    <c:v>5.050385263226125E-3</c:v>
                  </c:pt>
                  <c:pt idx="6">
                    <c:v>1.0221887807540532E-2</c:v>
                  </c:pt>
                  <c:pt idx="7">
                    <c:v>1.4375176610998212E-2</c:v>
                  </c:pt>
                  <c:pt idx="8">
                    <c:v>2.9228809523672412E-2</c:v>
                  </c:pt>
                  <c:pt idx="9">
                    <c:v>3.2800733527801593E-2</c:v>
                  </c:pt>
                  <c:pt idx="10">
                    <c:v>3.7261365782281008E-2</c:v>
                  </c:pt>
                </c:numCache>
              </c:numRef>
            </c:plus>
            <c:minus>
              <c:numRef>
                <c:f>recirculation!$CM$120:$CM$130</c:f>
                <c:numCache>
                  <c:formatCode>General</c:formatCode>
                  <c:ptCount val="11"/>
                  <c:pt idx="0">
                    <c:v>9.4469838431098833E-5</c:v>
                  </c:pt>
                  <c:pt idx="1">
                    <c:v>4.182375494874575E-4</c:v>
                  </c:pt>
                  <c:pt idx="2">
                    <c:v>1.3925590288386329E-3</c:v>
                  </c:pt>
                  <c:pt idx="3">
                    <c:v>3.0407360958551108E-3</c:v>
                  </c:pt>
                  <c:pt idx="4">
                    <c:v>4.9508168733146812E-3</c:v>
                  </c:pt>
                  <c:pt idx="5">
                    <c:v>5.050385263226125E-3</c:v>
                  </c:pt>
                  <c:pt idx="6">
                    <c:v>1.0221887807540532E-2</c:v>
                  </c:pt>
                  <c:pt idx="7">
                    <c:v>1.4375176610998212E-2</c:v>
                  </c:pt>
                  <c:pt idx="8">
                    <c:v>2.9228809523672412E-2</c:v>
                  </c:pt>
                  <c:pt idx="9">
                    <c:v>3.2800733527801593E-2</c:v>
                  </c:pt>
                  <c:pt idx="10">
                    <c:v>3.7261365782281008E-2</c:v>
                  </c:pt>
                </c:numCache>
              </c:numRef>
            </c:minus>
          </c:errBars>
          <c:xVal>
            <c:numRef>
              <c:f>recirculation!$BR$120:$BR$130</c:f>
              <c:numCache>
                <c:formatCode>General</c:formatCode>
                <c:ptCount val="11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  <c:pt idx="10">
                  <c:v>26</c:v>
                </c:pt>
              </c:numCache>
            </c:numRef>
          </c:xVal>
          <c:yVal>
            <c:numRef>
              <c:f>recirculation!$BV$120:$BV$130</c:f>
              <c:numCache>
                <c:formatCode>General</c:formatCode>
                <c:ptCount val="11"/>
                <c:pt idx="0">
                  <c:v>1.1861525827758089E-3</c:v>
                </c:pt>
                <c:pt idx="1">
                  <c:v>1.1604397817212623E-2</c:v>
                </c:pt>
                <c:pt idx="2">
                  <c:v>2.9641630712028896E-2</c:v>
                </c:pt>
                <c:pt idx="3">
                  <c:v>5.0543767853445422E-2</c:v>
                </c:pt>
                <c:pt idx="4">
                  <c:v>6.7247974071927966E-2</c:v>
                </c:pt>
                <c:pt idx="5">
                  <c:v>7.9776854080503931E-2</c:v>
                </c:pt>
                <c:pt idx="6">
                  <c:v>0.12135577442564953</c:v>
                </c:pt>
                <c:pt idx="7">
                  <c:v>0.14495987258584012</c:v>
                </c:pt>
                <c:pt idx="8">
                  <c:v>0.26190621462878588</c:v>
                </c:pt>
                <c:pt idx="9">
                  <c:v>0.26694328172095627</c:v>
                </c:pt>
                <c:pt idx="10">
                  <c:v>0.27057464703604117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3A-4D8D-AA2E-494DE23C8757}"/>
            </c:ext>
          </c:extLst>
        </c:ser>
        <c:ser>
          <c:idx val="4"/>
          <c:order val="3"/>
          <c:tx>
            <c:v>NH3 0.06M</c:v>
          </c:tx>
          <c:spPr>
            <a:ln w="28575">
              <a:noFill/>
            </a:ln>
          </c:spPr>
          <c:marker>
            <c:symbol val="star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recirculation!$DP$120:$DP$126</c:f>
                <c:numCache>
                  <c:formatCode>General</c:formatCode>
                  <c:ptCount val="7"/>
                  <c:pt idx="0">
                    <c:v>1.9933884764983558E-5</c:v>
                  </c:pt>
                  <c:pt idx="1">
                    <c:v>2.0363904931726111E-4</c:v>
                  </c:pt>
                  <c:pt idx="2">
                    <c:v>4.023408069981011E-4</c:v>
                  </c:pt>
                  <c:pt idx="3">
                    <c:v>1.5916698864394897E-3</c:v>
                  </c:pt>
                  <c:pt idx="4">
                    <c:v>2.1386656165680016E-3</c:v>
                  </c:pt>
                  <c:pt idx="5">
                    <c:v>1.8963724185063417E-3</c:v>
                  </c:pt>
                  <c:pt idx="6">
                    <c:v>5.3404478136744602E-3</c:v>
                  </c:pt>
                </c:numCache>
              </c:numRef>
            </c:plus>
            <c:minus>
              <c:numRef>
                <c:f>recirculation!$DP$120:$DP$126</c:f>
                <c:numCache>
                  <c:formatCode>General</c:formatCode>
                  <c:ptCount val="7"/>
                  <c:pt idx="0">
                    <c:v>1.9933884764983558E-5</c:v>
                  </c:pt>
                  <c:pt idx="1">
                    <c:v>2.0363904931726111E-4</c:v>
                  </c:pt>
                  <c:pt idx="2">
                    <c:v>4.023408069981011E-4</c:v>
                  </c:pt>
                  <c:pt idx="3">
                    <c:v>1.5916698864394897E-3</c:v>
                  </c:pt>
                  <c:pt idx="4">
                    <c:v>2.1386656165680016E-3</c:v>
                  </c:pt>
                  <c:pt idx="5">
                    <c:v>1.8963724185063417E-3</c:v>
                  </c:pt>
                  <c:pt idx="6">
                    <c:v>5.3404478136744602E-3</c:v>
                  </c:pt>
                </c:numCache>
              </c:numRef>
            </c:minus>
          </c:errBars>
          <c:xVal>
            <c:numRef>
              <c:f>recirculation!$CU$120:$CU$126</c:f>
              <c:numCache>
                <c:formatCode>General</c:formatCode>
                <c:ptCount val="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</c:numCache>
            </c:numRef>
          </c:xVal>
          <c:yVal>
            <c:numRef>
              <c:f>recirculation!$CY$120:$CY$126</c:f>
              <c:numCache>
                <c:formatCode>General</c:formatCode>
                <c:ptCount val="7"/>
                <c:pt idx="0">
                  <c:v>2.0825381744271875E-4</c:v>
                </c:pt>
                <c:pt idx="1">
                  <c:v>1.7981291149415436E-3</c:v>
                </c:pt>
                <c:pt idx="2">
                  <c:v>3.0067927350862721E-3</c:v>
                </c:pt>
                <c:pt idx="3">
                  <c:v>4.7575503216948116E-3</c:v>
                </c:pt>
                <c:pt idx="4">
                  <c:v>5.9104376284763276E-3</c:v>
                </c:pt>
                <c:pt idx="5">
                  <c:v>6.7125373870030244E-3</c:v>
                </c:pt>
                <c:pt idx="6">
                  <c:v>9.3302625171443193E-3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3A-4D8D-AA2E-494DE23C8757}"/>
            </c:ext>
          </c:extLst>
        </c:ser>
        <c:ser>
          <c:idx val="5"/>
          <c:order val="4"/>
          <c:tx>
            <c:v>NH3 0.006M</c:v>
          </c:tx>
          <c:spPr>
            <a:ln w="28575">
              <a:noFill/>
            </a:ln>
          </c:spPr>
          <c:marker>
            <c:symbol val="circle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recirculation!$EV$120:$EV$126</c:f>
                <c:numCache>
                  <c:formatCode>General</c:formatCode>
                  <c:ptCount val="7"/>
                  <c:pt idx="0">
                    <c:v>3.0338953840388204E-5</c:v>
                  </c:pt>
                  <c:pt idx="1">
                    <c:v>2.5252651738826888E-4</c:v>
                  </c:pt>
                  <c:pt idx="2">
                    <c:v>1.0163814485442027E-3</c:v>
                  </c:pt>
                  <c:pt idx="3">
                    <c:v>1.5925533669476069E-3</c:v>
                  </c:pt>
                  <c:pt idx="4">
                    <c:v>2.0263111319223847E-3</c:v>
                  </c:pt>
                  <c:pt idx="5">
                    <c:v>2.0582657850563412E-3</c:v>
                  </c:pt>
                  <c:pt idx="6">
                    <c:v>3.8275844400105881E-3</c:v>
                  </c:pt>
                </c:numCache>
              </c:numRef>
            </c:plus>
            <c:minus>
              <c:numRef>
                <c:f>recirculation!$EV$120:$EV$126</c:f>
                <c:numCache>
                  <c:formatCode>General</c:formatCode>
                  <c:ptCount val="7"/>
                  <c:pt idx="0">
                    <c:v>3.0338953840388204E-5</c:v>
                  </c:pt>
                  <c:pt idx="1">
                    <c:v>2.5252651738826888E-4</c:v>
                  </c:pt>
                  <c:pt idx="2">
                    <c:v>1.0163814485442027E-3</c:v>
                  </c:pt>
                  <c:pt idx="3">
                    <c:v>1.5925533669476069E-3</c:v>
                  </c:pt>
                  <c:pt idx="4">
                    <c:v>2.0263111319223847E-3</c:v>
                  </c:pt>
                  <c:pt idx="5">
                    <c:v>2.0582657850563412E-3</c:v>
                  </c:pt>
                  <c:pt idx="6">
                    <c:v>3.8275844400105881E-3</c:v>
                  </c:pt>
                </c:numCache>
              </c:numRef>
            </c:minus>
          </c:errBars>
          <c:xVal>
            <c:numRef>
              <c:f>recirculation!$EA$120:$EA$126</c:f>
              <c:numCache>
                <c:formatCode>General</c:formatCode>
                <c:ptCount val="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</c:numCache>
            </c:numRef>
          </c:xVal>
          <c:yVal>
            <c:numRef>
              <c:f>recirculation!$EE$120:$EE$126</c:f>
              <c:numCache>
                <c:formatCode>General</c:formatCode>
                <c:ptCount val="7"/>
                <c:pt idx="0">
                  <c:v>1.4042835683474137E-4</c:v>
                </c:pt>
                <c:pt idx="1">
                  <c:v>1.1906535127784077E-3</c:v>
                </c:pt>
                <c:pt idx="2">
                  <c:v>2.7951533715040939E-3</c:v>
                </c:pt>
                <c:pt idx="3">
                  <c:v>4.9353573370653188E-3</c:v>
                </c:pt>
                <c:pt idx="4">
                  <c:v>5.7501371118097843E-3</c:v>
                </c:pt>
                <c:pt idx="5">
                  <c:v>6.3423974663965503E-3</c:v>
                </c:pt>
                <c:pt idx="6">
                  <c:v>6.4903726520771123E-3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3A-4D8D-AA2E-494DE23C8757}"/>
            </c:ext>
          </c:extLst>
        </c:ser>
        <c:ser>
          <c:idx val="3"/>
          <c:order val="5"/>
          <c:tx>
            <c:v>Saturation line</c:v>
          </c:tx>
          <c:spPr>
            <a:ln w="28575">
              <a:noFill/>
            </a:ln>
          </c:spPr>
          <c:marker>
            <c:symbol val="dash"/>
            <c:size val="15"/>
            <c:spPr>
              <a:solidFill>
                <a:srgbClr val="7030A0"/>
              </a:solidFill>
            </c:spPr>
          </c:marker>
          <c:xVal>
            <c:numRef>
              <c:f>recirculation!$B$312:$B$345</c:f>
              <c:numCache>
                <c:formatCode>General</c:formatCode>
                <c:ptCount val="34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</c:numCache>
            </c:numRef>
          </c:xVal>
          <c:yVal>
            <c:numRef>
              <c:f>recirculation!$A$312:$A$345</c:f>
              <c:numCache>
                <c:formatCode>General</c:formatCode>
                <c:ptCount val="3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3A-4D8D-AA2E-494DE23C8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53568"/>
        <c:axId val="117868416"/>
      </c:scatterChart>
      <c:valAx>
        <c:axId val="11785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US" sz="1500"/>
                  <a:t>time measurement (hours)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7868416"/>
        <c:crosses val="autoZero"/>
        <c:crossBetween val="midCat"/>
        <c:majorUnit val="5"/>
      </c:valAx>
      <c:valAx>
        <c:axId val="1178684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Ssol/S*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785356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2"/>
          <c:order val="0"/>
          <c:tx>
            <c:v>NH3 3M (Qgin 60ml/min)upside down</c:v>
          </c:tx>
          <c:spPr>
            <a:ln w="28575">
              <a:noFill/>
            </a:ln>
          </c:spPr>
          <c:xVal>
            <c:numRef>
              <c:f>Sheet1!$U$128:$U$140</c:f>
              <c:numCache>
                <c:formatCode>General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280</c:v>
                </c:pt>
                <c:pt idx="7">
                  <c:v>1120</c:v>
                </c:pt>
                <c:pt idx="8">
                  <c:v>1420</c:v>
                </c:pt>
                <c:pt idx="9">
                  <c:v>1540</c:v>
                </c:pt>
                <c:pt idx="10">
                  <c:v>2455</c:v>
                </c:pt>
                <c:pt idx="11">
                  <c:v>2965</c:v>
                </c:pt>
                <c:pt idx="12">
                  <c:v>3900</c:v>
                </c:pt>
              </c:numCache>
            </c:numRef>
          </c:xVal>
          <c:yVal>
            <c:numRef>
              <c:f>Sheet1!$X$128:$X$140</c:f>
              <c:numCache>
                <c:formatCode>General</c:formatCode>
                <c:ptCount val="13"/>
                <c:pt idx="0">
                  <c:v>6.0101896578983885E-3</c:v>
                </c:pt>
                <c:pt idx="1">
                  <c:v>5.6474041829963073E-2</c:v>
                </c:pt>
                <c:pt idx="2">
                  <c:v>0.10552204106060549</c:v>
                </c:pt>
                <c:pt idx="3">
                  <c:v>0.18105176236612505</c:v>
                </c:pt>
                <c:pt idx="4">
                  <c:v>0.26119837931378959</c:v>
                </c:pt>
                <c:pt idx="5">
                  <c:v>0.32090282881607129</c:v>
                </c:pt>
                <c:pt idx="6">
                  <c:v>0.5244704647206927</c:v>
                </c:pt>
                <c:pt idx="7">
                  <c:v>1.0852104859375484</c:v>
                </c:pt>
                <c:pt idx="8">
                  <c:v>1.2213846438219806</c:v>
                </c:pt>
                <c:pt idx="9">
                  <c:v>1.2729919820536786</c:v>
                </c:pt>
                <c:pt idx="10">
                  <c:v>1.6482330908170504</c:v>
                </c:pt>
                <c:pt idx="11">
                  <c:v>1.8048470324507906</c:v>
                </c:pt>
                <c:pt idx="12">
                  <c:v>1.9096355453818252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5B-4C98-9583-46415E4ED4BE}"/>
            </c:ext>
          </c:extLst>
        </c:ser>
        <c:ser>
          <c:idx val="3"/>
          <c:order val="1"/>
          <c:tx>
            <c:v>NH3 3M (Qgin 60ml/min)</c:v>
          </c:tx>
          <c:spPr>
            <a:ln w="28575">
              <a:noFill/>
            </a:ln>
          </c:spPr>
          <c:xVal>
            <c:numRef>
              <c:f>Sheet1!$M$90:$M$97</c:f>
              <c:numCache>
                <c:formatCode>General</c:formatCode>
                <c:ptCount val="8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130</c:v>
                </c:pt>
                <c:pt idx="7">
                  <c:v>1140</c:v>
                </c:pt>
              </c:numCache>
            </c:numRef>
          </c:xVal>
          <c:yVal>
            <c:numRef>
              <c:f>Sheet1!$P$90:$P$97</c:f>
              <c:numCache>
                <c:formatCode>General</c:formatCode>
                <c:ptCount val="8"/>
                <c:pt idx="0">
                  <c:v>7.060677561224785E-3</c:v>
                </c:pt>
                <c:pt idx="1">
                  <c:v>6.6374787548768646E-2</c:v>
                </c:pt>
                <c:pt idx="2">
                  <c:v>0.12092904830314055</c:v>
                </c:pt>
                <c:pt idx="3">
                  <c:v>0.20342342396834082</c:v>
                </c:pt>
                <c:pt idx="4">
                  <c:v>0.29102903002633335</c:v>
                </c:pt>
                <c:pt idx="5">
                  <c:v>0.3590620907565647</c:v>
                </c:pt>
                <c:pt idx="6">
                  <c:v>0.41780476991605925</c:v>
                </c:pt>
                <c:pt idx="7">
                  <c:v>1.2752579944643154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5B-4C98-9583-46415E4ED4BE}"/>
            </c:ext>
          </c:extLst>
        </c:ser>
        <c:ser>
          <c:idx val="0"/>
          <c:order val="2"/>
          <c:tx>
            <c:v>NH3 3M</c:v>
          </c:tx>
          <c:spPr>
            <a:ln w="28575">
              <a:noFill/>
            </a:ln>
          </c:spPr>
          <c:xVal>
            <c:numRef>
              <c:f>Sheet1!$M$73:$M$83</c:f>
              <c:numCache>
                <c:formatCode>General</c:formatCode>
                <c:ptCount val="11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80</c:v>
                </c:pt>
                <c:pt idx="8">
                  <c:v>110</c:v>
                </c:pt>
                <c:pt idx="9">
                  <c:v>140</c:v>
                </c:pt>
                <c:pt idx="10">
                  <c:v>180</c:v>
                </c:pt>
              </c:numCache>
            </c:numRef>
          </c:xVal>
          <c:yVal>
            <c:numRef>
              <c:f>Sheet1!$P$73:$P$83</c:f>
              <c:numCache>
                <c:formatCode>General</c:formatCode>
                <c:ptCount val="11"/>
                <c:pt idx="0">
                  <c:v>6.0869102551301237E-3</c:v>
                </c:pt>
                <c:pt idx="1">
                  <c:v>5.5105477590280727E-2</c:v>
                </c:pt>
                <c:pt idx="2">
                  <c:v>0.10403710137701315</c:v>
                </c:pt>
                <c:pt idx="3">
                  <c:v>0.14510954581785318</c:v>
                </c:pt>
                <c:pt idx="4">
                  <c:v>0.1815333406427386</c:v>
                </c:pt>
                <c:pt idx="5">
                  <c:v>0.21372591561310206</c:v>
                </c:pt>
                <c:pt idx="6">
                  <c:v>0.24416366439817838</c:v>
                </c:pt>
                <c:pt idx="7">
                  <c:v>0.29517755728973988</c:v>
                </c:pt>
                <c:pt idx="8">
                  <c:v>0.36811286189588055</c:v>
                </c:pt>
                <c:pt idx="9">
                  <c:v>0.44849030993661609</c:v>
                </c:pt>
                <c:pt idx="10">
                  <c:v>0.54930127385445882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5B-4C98-9583-46415E4ED4BE}"/>
            </c:ext>
          </c:extLst>
        </c:ser>
        <c:ser>
          <c:idx val="1"/>
          <c:order val="3"/>
          <c:tx>
            <c:v>NH3 0.6M</c:v>
          </c:tx>
          <c:spPr>
            <a:ln w="28575">
              <a:noFill/>
            </a:ln>
          </c:spPr>
          <c:xVal>
            <c:numRef>
              <c:f>Sheet1!$V$73:$V$84</c:f>
              <c:numCache>
                <c:formatCode>General</c:formatCode>
                <c:ptCount val="12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60</c:v>
                </c:pt>
                <c:pt idx="6">
                  <c:v>80</c:v>
                </c:pt>
                <c:pt idx="7">
                  <c:v>100</c:v>
                </c:pt>
                <c:pt idx="8">
                  <c:v>120</c:v>
                </c:pt>
                <c:pt idx="9">
                  <c:v>140</c:v>
                </c:pt>
                <c:pt idx="10">
                  <c:v>160</c:v>
                </c:pt>
                <c:pt idx="11" formatCode="0">
                  <c:v>250</c:v>
                </c:pt>
              </c:numCache>
            </c:numRef>
          </c:xVal>
          <c:yVal>
            <c:numRef>
              <c:f>Sheet1!$Y$73:$Y$84</c:f>
              <c:numCache>
                <c:formatCode>General</c:formatCode>
                <c:ptCount val="12"/>
                <c:pt idx="0">
                  <c:v>1.5083707398729697E-3</c:v>
                </c:pt>
                <c:pt idx="1">
                  <c:v>1.4828054808757591E-2</c:v>
                </c:pt>
                <c:pt idx="2">
                  <c:v>2.7727105650242216E-2</c:v>
                </c:pt>
                <c:pt idx="3">
                  <c:v>3.9346708150531463E-2</c:v>
                </c:pt>
                <c:pt idx="4">
                  <c:v>4.9480826199784216E-2</c:v>
                </c:pt>
                <c:pt idx="5">
                  <c:v>6.6670634411337359E-2</c:v>
                </c:pt>
                <c:pt idx="6">
                  <c:v>8.1440767301225583E-2</c:v>
                </c:pt>
                <c:pt idx="7">
                  <c:v>9.4578468533145041E-2</c:v>
                </c:pt>
                <c:pt idx="8">
                  <c:v>0.10662267882027106</c:v>
                </c:pt>
                <c:pt idx="9">
                  <c:v>0.11778165778568782</c:v>
                </c:pt>
                <c:pt idx="10">
                  <c:v>0.12775004312525221</c:v>
                </c:pt>
                <c:pt idx="11" formatCode="0.000">
                  <c:v>0.16618265867964338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5B-4C98-9583-46415E4ED4BE}"/>
            </c:ext>
          </c:extLst>
        </c:ser>
        <c:ser>
          <c:idx val="4"/>
          <c:order val="4"/>
          <c:tx>
            <c:v>NH3 2.3M (Qgin 60ml/min)</c:v>
          </c:tx>
          <c:spPr>
            <a:ln w="28575">
              <a:noFill/>
            </a:ln>
          </c:spPr>
          <c:xVal>
            <c:numRef>
              <c:f>Sheet1!$AE$73:$AE$83</c:f>
              <c:numCache>
                <c:formatCode>General</c:formatCode>
                <c:ptCount val="11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200</c:v>
                </c:pt>
                <c:pt idx="7">
                  <c:v>1150</c:v>
                </c:pt>
                <c:pt idx="8">
                  <c:v>1440</c:v>
                </c:pt>
                <c:pt idx="9">
                  <c:v>2860</c:v>
                </c:pt>
                <c:pt idx="10">
                  <c:v>3050</c:v>
                </c:pt>
              </c:numCache>
            </c:numRef>
          </c:xVal>
          <c:yVal>
            <c:numRef>
              <c:f>Sheet1!$AH$73:$AH$83</c:f>
              <c:numCache>
                <c:formatCode>General</c:formatCode>
                <c:ptCount val="11"/>
                <c:pt idx="0">
                  <c:v>3.7432126033237864E-3</c:v>
                </c:pt>
                <c:pt idx="1">
                  <c:v>3.5159493296278453E-2</c:v>
                </c:pt>
                <c:pt idx="2">
                  <c:v>6.6400437318732575E-2</c:v>
                </c:pt>
                <c:pt idx="3">
                  <c:v>0.11766667091542354</c:v>
                </c:pt>
                <c:pt idx="4">
                  <c:v>0.17340628401434188</c:v>
                </c:pt>
                <c:pt idx="5">
                  <c:v>0.21650781607432085</c:v>
                </c:pt>
                <c:pt idx="6">
                  <c:v>0.30638276362098815</c:v>
                </c:pt>
                <c:pt idx="7">
                  <c:v>0.78153501954997451</c:v>
                </c:pt>
                <c:pt idx="8">
                  <c:v>0.91189476734107189</c:v>
                </c:pt>
                <c:pt idx="9">
                  <c:v>1.1327514243710228</c:v>
                </c:pt>
                <c:pt idx="10">
                  <c:v>1.1646611436168961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5B-4C98-9583-46415E4ED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78720"/>
        <c:axId val="112880640"/>
      </c:scatterChart>
      <c:valAx>
        <c:axId val="11287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US" sz="1500"/>
                  <a:t>time measurement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2880640"/>
        <c:crosses val="autoZero"/>
        <c:crossBetween val="midCat"/>
      </c:valAx>
      <c:valAx>
        <c:axId val="112880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Ssol/S*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287872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exp"/>
            <c:dispRSqr val="1"/>
            <c:dispEq val="1"/>
            <c:trendlineLbl>
              <c:layout>
                <c:manualLayout>
                  <c:x val="-3.3764716910386204E-2"/>
                  <c:y val="1.9813600785247347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0.0007e</a:t>
                    </a:r>
                    <a:r>
                      <a:rPr lang="en-US" baseline="30000"/>
                      <a:t>0.0277x</a:t>
                    </a:r>
                    <a:br>
                      <a:rPr lang="en-US" baseline="0"/>
                    </a:br>
                    <a:r>
                      <a:rPr lang="en-US" baseline="0"/>
                      <a:t>R² = 0.99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recirculation!$B$365:$B$368</c:f>
              <c:numCache>
                <c:formatCode>General</c:formatCode>
                <c:ptCount val="4"/>
                <c:pt idx="0">
                  <c:v>293</c:v>
                </c:pt>
                <c:pt idx="1">
                  <c:v>303</c:v>
                </c:pt>
                <c:pt idx="2">
                  <c:v>313</c:v>
                </c:pt>
                <c:pt idx="3">
                  <c:v>323</c:v>
                </c:pt>
              </c:numCache>
            </c:numRef>
          </c:xVal>
          <c:yVal>
            <c:numRef>
              <c:f>recirculation!$A$365:$A$368</c:f>
              <c:numCache>
                <c:formatCode>General</c:formatCode>
                <c:ptCount val="4"/>
                <c:pt idx="0">
                  <c:v>2.3170000000000002</c:v>
                </c:pt>
                <c:pt idx="1">
                  <c:v>2.8540000000000001</c:v>
                </c:pt>
                <c:pt idx="2">
                  <c:v>3.839</c:v>
                </c:pt>
                <c:pt idx="3">
                  <c:v>5.2770000000000001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7C-4E11-B422-6FF3B144D4C7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Dot"/>
              </a:ln>
            </c:spPr>
            <c:trendlineType val="exp"/>
            <c:dispRSqr val="0"/>
            <c:dispEq val="0"/>
          </c:trendline>
          <c:xVal>
            <c:numRef>
              <c:f>recirculation!$H$373:$H$375</c:f>
              <c:numCache>
                <c:formatCode>General</c:formatCode>
                <c:ptCount val="3"/>
                <c:pt idx="0">
                  <c:v>293</c:v>
                </c:pt>
                <c:pt idx="1">
                  <c:v>283</c:v>
                </c:pt>
                <c:pt idx="2">
                  <c:v>278</c:v>
                </c:pt>
              </c:numCache>
            </c:numRef>
          </c:xVal>
          <c:yVal>
            <c:numRef>
              <c:f>recirculation!$K$373:$K$375</c:f>
              <c:numCache>
                <c:formatCode>General</c:formatCode>
                <c:ptCount val="3"/>
                <c:pt idx="0">
                  <c:v>2.3170000000000002</c:v>
                </c:pt>
                <c:pt idx="1">
                  <c:v>1.7564122698050479</c:v>
                </c:pt>
                <c:pt idx="2">
                  <c:v>1.5292436173974315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75-410C-B2F1-9BB6275FA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76160"/>
        <c:axId val="118078080"/>
      </c:scatterChart>
      <c:valAx>
        <c:axId val="118076160"/>
        <c:scaling>
          <c:orientation val="minMax"/>
          <c:min val="27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Temperature</a:t>
                </a:r>
                <a:r>
                  <a:rPr lang="en-GB" baseline="0"/>
                  <a:t> (K)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8078080"/>
        <c:crosses val="autoZero"/>
        <c:crossBetween val="midCat"/>
      </c:valAx>
      <c:valAx>
        <c:axId val="1180780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NH</a:t>
                </a:r>
                <a:r>
                  <a:rPr lang="en-US" baseline="-25000"/>
                  <a:t>4</a:t>
                </a:r>
                <a:r>
                  <a:rPr lang="en-US"/>
                  <a:t>HCO</a:t>
                </a:r>
                <a:r>
                  <a:rPr lang="en-US" baseline="-25000"/>
                  <a:t>3</a:t>
                </a:r>
                <a:r>
                  <a:rPr lang="en-US"/>
                  <a:t> solubility (mol/L)</a:t>
                </a:r>
              </a:p>
            </c:rich>
          </c:tx>
          <c:layout>
            <c:manualLayout>
              <c:xMode val="edge"/>
              <c:yMode val="edge"/>
              <c:x val="1.9047619047619049E-2"/>
              <c:y val="0.124068459968958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8076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Qg=50ml/min; VOL liq=100ml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recirculation!$B$190:$B$194</c:f>
                <c:numCache>
                  <c:formatCode>General</c:formatCode>
                  <c:ptCount val="5"/>
                  <c:pt idx="0">
                    <c:v>3.0977042717559249E-4</c:v>
                  </c:pt>
                  <c:pt idx="1">
                    <c:v>2.0353134229360686E-4</c:v>
                  </c:pt>
                  <c:pt idx="2">
                    <c:v>9.6456728072981683E-4</c:v>
                  </c:pt>
                  <c:pt idx="3">
                    <c:v>1.1708829237480145E-3</c:v>
                  </c:pt>
                  <c:pt idx="4">
                    <c:v>3.2820079769555898E-3</c:v>
                  </c:pt>
                </c:numCache>
              </c:numRef>
            </c:plus>
            <c:minus>
              <c:numRef>
                <c:f>recirculation!$B$190:$B$194</c:f>
                <c:numCache>
                  <c:formatCode>General</c:formatCode>
                  <c:ptCount val="5"/>
                  <c:pt idx="0">
                    <c:v>3.0977042717559249E-4</c:v>
                  </c:pt>
                  <c:pt idx="1">
                    <c:v>2.0353134229360686E-4</c:v>
                  </c:pt>
                  <c:pt idx="2">
                    <c:v>9.6456728072981683E-4</c:v>
                  </c:pt>
                  <c:pt idx="3">
                    <c:v>1.1708829237480145E-3</c:v>
                  </c:pt>
                  <c:pt idx="4">
                    <c:v>3.2820079769555898E-3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recirculation!$C$157:$G$157</c:f>
              <c:numCache>
                <c:formatCode>General</c:formatCode>
                <c:ptCount val="5"/>
                <c:pt idx="0">
                  <c:v>1.4338184603568964E-3</c:v>
                </c:pt>
                <c:pt idx="1">
                  <c:v>2.1263381173117399E-3</c:v>
                </c:pt>
                <c:pt idx="2">
                  <c:v>1.2110997438967496E-2</c:v>
                </c:pt>
                <c:pt idx="3">
                  <c:v>4.637527449518597E-2</c:v>
                </c:pt>
                <c:pt idx="4">
                  <c:v>6.9279359161352819E-2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6-41B6-9627-10D1FF499B74}"/>
            </c:ext>
          </c:extLst>
        </c:ser>
        <c:ser>
          <c:idx val="1"/>
          <c:order val="1"/>
          <c:tx>
            <c:v>10 min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recirculation!$C$190:$C$194</c:f>
                <c:numCache>
                  <c:formatCode>General</c:formatCode>
                  <c:ptCount val="5"/>
                  <c:pt idx="0">
                    <c:v>2.57837655101979E-3</c:v>
                  </c:pt>
                  <c:pt idx="1">
                    <c:v>2.079219858025018E-3</c:v>
                  </c:pt>
                  <c:pt idx="2">
                    <c:v>4.2703392162827813E-3</c:v>
                  </c:pt>
                  <c:pt idx="3">
                    <c:v>3.4212892206938431E-3</c:v>
                  </c:pt>
                  <c:pt idx="4">
                    <c:v>6.1337875408488049E-3</c:v>
                  </c:pt>
                </c:numCache>
              </c:numRef>
            </c:plus>
            <c:minus>
              <c:numRef>
                <c:f>recirculation!$C$190:$C$194</c:f>
                <c:numCache>
                  <c:formatCode>General</c:formatCode>
                  <c:ptCount val="5"/>
                  <c:pt idx="0">
                    <c:v>2.57837655101979E-3</c:v>
                  </c:pt>
                  <c:pt idx="1">
                    <c:v>2.079219858025018E-3</c:v>
                  </c:pt>
                  <c:pt idx="2">
                    <c:v>4.2703392162827813E-3</c:v>
                  </c:pt>
                  <c:pt idx="3">
                    <c:v>3.4212892206938431E-3</c:v>
                  </c:pt>
                  <c:pt idx="4">
                    <c:v>6.1337875408488049E-3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recirculation!$C$158:$G$158</c:f>
              <c:numCache>
                <c:formatCode>General</c:formatCode>
                <c:ptCount val="5"/>
                <c:pt idx="0">
                  <c:v>1.215695337459163E-2</c:v>
                </c:pt>
                <c:pt idx="1">
                  <c:v>1.8359473664869938E-2</c:v>
                </c:pt>
                <c:pt idx="2">
                  <c:v>0.1184846151210424</c:v>
                </c:pt>
                <c:pt idx="3">
                  <c:v>0.45268618362218432</c:v>
                </c:pt>
                <c:pt idx="4">
                  <c:v>0.56867026601837067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6-41B6-9627-10D1FF499B74}"/>
            </c:ext>
          </c:extLst>
        </c:ser>
        <c:ser>
          <c:idx val="2"/>
          <c:order val="2"/>
          <c:tx>
            <c:v>30 min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recirculation!$D$190:$D$194</c:f>
                <c:numCache>
                  <c:formatCode>General</c:formatCode>
                  <c:ptCount val="5"/>
                  <c:pt idx="0">
                    <c:v>1.0377579831699839E-2</c:v>
                  </c:pt>
                  <c:pt idx="1">
                    <c:v>4.1080283885088515E-3</c:v>
                  </c:pt>
                  <c:pt idx="2">
                    <c:v>1.4218473303331688E-2</c:v>
                  </c:pt>
                  <c:pt idx="3">
                    <c:v>1.1207648548389869E-2</c:v>
                  </c:pt>
                  <c:pt idx="4">
                    <c:v>1.2358825774544413E-2</c:v>
                  </c:pt>
                </c:numCache>
              </c:numRef>
            </c:plus>
            <c:minus>
              <c:numRef>
                <c:f>recirculation!$D$190:$D$194</c:f>
                <c:numCache>
                  <c:formatCode>General</c:formatCode>
                  <c:ptCount val="5"/>
                  <c:pt idx="0">
                    <c:v>1.0377579831699839E-2</c:v>
                  </c:pt>
                  <c:pt idx="1">
                    <c:v>4.1080283885088515E-3</c:v>
                  </c:pt>
                  <c:pt idx="2">
                    <c:v>1.4218473303331688E-2</c:v>
                  </c:pt>
                  <c:pt idx="3">
                    <c:v>1.1207648548389869E-2</c:v>
                  </c:pt>
                  <c:pt idx="4">
                    <c:v>1.2358825774544413E-2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recirculation!$C$159:$G$159</c:f>
              <c:numCache>
                <c:formatCode>General</c:formatCode>
                <c:ptCount val="5"/>
                <c:pt idx="0">
                  <c:v>2.8539410372135678E-2</c:v>
                </c:pt>
                <c:pt idx="1">
                  <c:v>3.0700315998906064E-2</c:v>
                </c:pt>
                <c:pt idx="2">
                  <c:v>0.30265053489164284</c:v>
                </c:pt>
                <c:pt idx="3">
                  <c:v>1.1694003889342961</c:v>
                </c:pt>
                <c:pt idx="4">
                  <c:v>1.5367039913909548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6-41B6-9627-10D1FF499B74}"/>
            </c:ext>
          </c:extLst>
        </c:ser>
        <c:ser>
          <c:idx val="3"/>
          <c:order val="3"/>
          <c:tx>
            <c:v>1 hour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recirculation!$E$190:$E$194</c:f>
                <c:numCache>
                  <c:formatCode>General</c:formatCode>
                  <c:ptCount val="5"/>
                  <c:pt idx="0">
                    <c:v>1.6260479493612517E-2</c:v>
                  </c:pt>
                  <c:pt idx="1">
                    <c:v>1.6251458874910859E-2</c:v>
                  </c:pt>
                  <c:pt idx="2">
                    <c:v>3.1046888574231327E-2</c:v>
                  </c:pt>
                  <c:pt idx="3">
                    <c:v>1.1543262498765262E-2</c:v>
                  </c:pt>
                  <c:pt idx="4">
                    <c:v>0.15835518331015813</c:v>
                  </c:pt>
                </c:numCache>
              </c:numRef>
            </c:plus>
            <c:minus>
              <c:numRef>
                <c:f>recirculation!$E$190:$E$194</c:f>
                <c:numCache>
                  <c:formatCode>General</c:formatCode>
                  <c:ptCount val="5"/>
                  <c:pt idx="0">
                    <c:v>1.6260479493612517E-2</c:v>
                  </c:pt>
                  <c:pt idx="1">
                    <c:v>1.6251458874910859E-2</c:v>
                  </c:pt>
                  <c:pt idx="2">
                    <c:v>3.1046888574231327E-2</c:v>
                  </c:pt>
                  <c:pt idx="3">
                    <c:v>1.1543262498765262E-2</c:v>
                  </c:pt>
                  <c:pt idx="4">
                    <c:v>0.15835518331015813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recirculation!$C$160:$G$160</c:f>
              <c:numCache>
                <c:formatCode>General</c:formatCode>
                <c:ptCount val="5"/>
                <c:pt idx="0">
                  <c:v>5.0391577725784759E-2</c:v>
                </c:pt>
                <c:pt idx="1">
                  <c:v>4.8576111200606967E-2</c:v>
                </c:pt>
                <c:pt idx="2">
                  <c:v>0.51606804378939086</c:v>
                </c:pt>
                <c:pt idx="3">
                  <c:v>1.925435850490447</c:v>
                </c:pt>
                <c:pt idx="4">
                  <c:v>2.5395471990628757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06-41B6-9627-10D1FF499B74}"/>
            </c:ext>
          </c:extLst>
        </c:ser>
        <c:ser>
          <c:idx val="4"/>
          <c:order val="4"/>
          <c:tx>
            <c:v>1.5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recirculation!$F$190:$F$194</c:f>
                <c:numCache>
                  <c:formatCode>General</c:formatCode>
                  <c:ptCount val="5"/>
                  <c:pt idx="0">
                    <c:v>2.0689285076489764E-2</c:v>
                  </c:pt>
                  <c:pt idx="1">
                    <c:v>2.1836460318156579E-2</c:v>
                  </c:pt>
                  <c:pt idx="2">
                    <c:v>5.0549424537942381E-2</c:v>
                  </c:pt>
                  <c:pt idx="3">
                    <c:v>1.7323684470084429E-2</c:v>
                  </c:pt>
                  <c:pt idx="4">
                    <c:v>0.16771279714832116</c:v>
                  </c:pt>
                </c:numCache>
              </c:numRef>
            </c:plus>
            <c:minus>
              <c:numRef>
                <c:f>recirculation!$F$190:$F$194</c:f>
                <c:numCache>
                  <c:formatCode>General</c:formatCode>
                  <c:ptCount val="5"/>
                  <c:pt idx="0">
                    <c:v>2.0689285076489764E-2</c:v>
                  </c:pt>
                  <c:pt idx="1">
                    <c:v>2.1836460318156579E-2</c:v>
                  </c:pt>
                  <c:pt idx="2">
                    <c:v>5.0549424537942381E-2</c:v>
                  </c:pt>
                  <c:pt idx="3">
                    <c:v>1.7323684470084429E-2</c:v>
                  </c:pt>
                  <c:pt idx="4">
                    <c:v>0.16771279714832116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recirculation!$C$161:$G$161</c:f>
              <c:numCache>
                <c:formatCode>General</c:formatCode>
                <c:ptCount val="5"/>
                <c:pt idx="0">
                  <c:v>5.8710739955453665E-2</c:v>
                </c:pt>
                <c:pt idx="1">
                  <c:v>6.0347459526784421E-2</c:v>
                </c:pt>
                <c:pt idx="2">
                  <c:v>0.68662333462608749</c:v>
                </c:pt>
                <c:pt idx="3">
                  <c:v>2.5061168782292071</c:v>
                </c:pt>
                <c:pt idx="4">
                  <c:v>3.2979534744469068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6-41B6-9627-10D1FF499B74}"/>
            </c:ext>
          </c:extLst>
        </c:ser>
        <c:ser>
          <c:idx val="5"/>
          <c:order val="5"/>
          <c:tx>
            <c:v>2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recirculation!$G$190:$G$194</c:f>
                <c:numCache>
                  <c:formatCode>General</c:formatCode>
                  <c:ptCount val="5"/>
                  <c:pt idx="0">
                    <c:v>2.1015552310476443E-2</c:v>
                  </c:pt>
                  <c:pt idx="1">
                    <c:v>1.9362569232123667E-2</c:v>
                  </c:pt>
                  <c:pt idx="2">
                    <c:v>5.1566049660822982E-2</c:v>
                  </c:pt>
                  <c:pt idx="3">
                    <c:v>6.8404842683435316E-2</c:v>
                  </c:pt>
                  <c:pt idx="4">
                    <c:v>0.17090356692812758</c:v>
                  </c:pt>
                </c:numCache>
              </c:numRef>
            </c:plus>
            <c:minus>
              <c:numRef>
                <c:f>recirculation!$G$190:$G$194</c:f>
                <c:numCache>
                  <c:formatCode>General</c:formatCode>
                  <c:ptCount val="5"/>
                  <c:pt idx="0">
                    <c:v>2.1015552310476443E-2</c:v>
                  </c:pt>
                  <c:pt idx="1">
                    <c:v>1.9362569232123667E-2</c:v>
                  </c:pt>
                  <c:pt idx="2">
                    <c:v>5.1566049660822982E-2</c:v>
                  </c:pt>
                  <c:pt idx="3">
                    <c:v>6.8404842683435316E-2</c:v>
                  </c:pt>
                  <c:pt idx="4">
                    <c:v>0.17090356692812758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recirculation!$C$162:$G$162</c:f>
              <c:numCache>
                <c:formatCode>General</c:formatCode>
                <c:ptCount val="5"/>
                <c:pt idx="0">
                  <c:v>6.4757907699098019E-2</c:v>
                </c:pt>
                <c:pt idx="1">
                  <c:v>6.8537154733264716E-2</c:v>
                </c:pt>
                <c:pt idx="2">
                  <c:v>0.81454720875525077</c:v>
                </c:pt>
                <c:pt idx="3">
                  <c:v>2.9791729416768145</c:v>
                </c:pt>
                <c:pt idx="4">
                  <c:v>3.8707165168497548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06-41B6-9627-10D1FF499B74}"/>
            </c:ext>
          </c:extLst>
        </c:ser>
        <c:ser>
          <c:idx val="6"/>
          <c:order val="6"/>
          <c:tx>
            <c:v>4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recirculation!$H$190:$H$194</c:f>
                <c:numCache>
                  <c:formatCode>General</c:formatCode>
                  <c:ptCount val="5"/>
                  <c:pt idx="0">
                    <c:v>3.9080861959528895E-2</c:v>
                  </c:pt>
                  <c:pt idx="1">
                    <c:v>5.4527681120916632E-2</c:v>
                  </c:pt>
                  <c:pt idx="2">
                    <c:v>0.10436874551908731</c:v>
                  </c:pt>
                  <c:pt idx="3">
                    <c:v>0.24872540712914765</c:v>
                  </c:pt>
                  <c:pt idx="4">
                    <c:v>0.18954333193337269</c:v>
                  </c:pt>
                </c:numCache>
              </c:numRef>
            </c:plus>
            <c:minus>
              <c:numRef>
                <c:f>recirculation!$H$190:$H$194</c:f>
                <c:numCache>
                  <c:formatCode>General</c:formatCode>
                  <c:ptCount val="5"/>
                  <c:pt idx="0">
                    <c:v>3.9080861959528895E-2</c:v>
                  </c:pt>
                  <c:pt idx="1">
                    <c:v>5.4527681120916632E-2</c:v>
                  </c:pt>
                  <c:pt idx="2">
                    <c:v>0.10436874551908731</c:v>
                  </c:pt>
                  <c:pt idx="3">
                    <c:v>0.24872540712914765</c:v>
                  </c:pt>
                  <c:pt idx="4">
                    <c:v>0.18954333193337269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recirculation!$C$163:$G$163</c:f>
              <c:numCache>
                <c:formatCode>General</c:formatCode>
                <c:ptCount val="5"/>
                <c:pt idx="0">
                  <c:v>6.6268781696955964E-2</c:v>
                </c:pt>
                <c:pt idx="1">
                  <c:v>9.5264965984048974E-2</c:v>
                </c:pt>
                <c:pt idx="2">
                  <c:v>1.2390812907336977</c:v>
                </c:pt>
                <c:pt idx="3">
                  <c:v>3.927159462359759</c:v>
                </c:pt>
                <c:pt idx="4">
                  <c:v>5.6106486113910146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06-41B6-9627-10D1FF499B74}"/>
            </c:ext>
          </c:extLst>
        </c:ser>
        <c:ser>
          <c:idx val="7"/>
          <c:order val="7"/>
          <c:tx>
            <c:v>6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recirculation!$I$190:$I$194</c:f>
                <c:numCache>
                  <c:formatCode>General</c:formatCode>
                  <c:ptCount val="5"/>
                  <c:pt idx="2">
                    <c:v>0.14677515325480736</c:v>
                  </c:pt>
                  <c:pt idx="3">
                    <c:v>0.20635119843153521</c:v>
                  </c:pt>
                </c:numCache>
              </c:numRef>
            </c:plus>
            <c:minus>
              <c:numRef>
                <c:f>recirculation!$I$190:$I$194</c:f>
                <c:numCache>
                  <c:formatCode>General</c:formatCode>
                  <c:ptCount val="5"/>
                  <c:pt idx="2">
                    <c:v>0.14677515325480736</c:v>
                  </c:pt>
                  <c:pt idx="3">
                    <c:v>0.20635119843153521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recirculation!$C$164:$G$164</c:f>
              <c:numCache>
                <c:formatCode>General</c:formatCode>
                <c:ptCount val="5"/>
                <c:pt idx="2">
                  <c:v>1.480086686260655</c:v>
                </c:pt>
                <c:pt idx="3">
                  <c:v>4.8038411248018402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06-41B6-9627-10D1FF499B74}"/>
            </c:ext>
          </c:extLst>
        </c:ser>
        <c:ser>
          <c:idx val="8"/>
          <c:order val="8"/>
          <c:tx>
            <c:v>18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recirculation!$J$190:$J$194</c:f>
                <c:numCache>
                  <c:formatCode>General</c:formatCode>
                  <c:ptCount val="5"/>
                  <c:pt idx="2">
                    <c:v>0.29843549845574591</c:v>
                  </c:pt>
                  <c:pt idx="3">
                    <c:v>0.47388197352977141</c:v>
                  </c:pt>
                </c:numCache>
              </c:numRef>
            </c:plus>
            <c:minus>
              <c:numRef>
                <c:f>recirculation!$J$190:$J$194</c:f>
                <c:numCache>
                  <c:formatCode>General</c:formatCode>
                  <c:ptCount val="5"/>
                  <c:pt idx="2">
                    <c:v>0.29843549845574591</c:v>
                  </c:pt>
                  <c:pt idx="3">
                    <c:v>0.47388197352977141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recirculation!$C$165:$G$165</c:f>
              <c:numCache>
                <c:formatCode>General</c:formatCode>
                <c:ptCount val="5"/>
                <c:pt idx="2">
                  <c:v>2.6741462613485849</c:v>
                </c:pt>
                <c:pt idx="3">
                  <c:v>7.4306226052158841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06-41B6-9627-10D1FF499B74}"/>
            </c:ext>
          </c:extLst>
        </c:ser>
        <c:ser>
          <c:idx val="9"/>
          <c:order val="9"/>
          <c:tx>
            <c:v>22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recirculation!$K$190:$K$194</c:f>
                <c:numCache>
                  <c:formatCode>General</c:formatCode>
                  <c:ptCount val="5"/>
                  <c:pt idx="2">
                    <c:v>0.3349059855535822</c:v>
                  </c:pt>
                  <c:pt idx="3">
                    <c:v>0.37853801103378876</c:v>
                  </c:pt>
                </c:numCache>
              </c:numRef>
            </c:plus>
            <c:minus>
              <c:numRef>
                <c:f>recirculation!$K$190:$K$194</c:f>
                <c:numCache>
                  <c:formatCode>General</c:formatCode>
                  <c:ptCount val="5"/>
                  <c:pt idx="2">
                    <c:v>0.3349059855535822</c:v>
                  </c:pt>
                  <c:pt idx="3">
                    <c:v>0.37853801103378876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recirculation!$C$166:$H$166</c:f>
              <c:numCache>
                <c:formatCode>General</c:formatCode>
                <c:ptCount val="6"/>
                <c:pt idx="2">
                  <c:v>2.7255763282211141</c:v>
                </c:pt>
                <c:pt idx="3">
                  <c:v>7.907354349135141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06-41B6-9627-10D1FF499B74}"/>
            </c:ext>
          </c:extLst>
        </c:ser>
        <c:ser>
          <c:idx val="10"/>
          <c:order val="10"/>
          <c:tx>
            <c:v>26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recirculation!$L$190:$L$194</c:f>
                <c:numCache>
                  <c:formatCode>General</c:formatCode>
                  <c:ptCount val="5"/>
                  <c:pt idx="2">
                    <c:v>0.38045046827413831</c:v>
                  </c:pt>
                  <c:pt idx="3">
                    <c:v>0.34756164754357238</c:v>
                  </c:pt>
                </c:numCache>
              </c:numRef>
            </c:plus>
            <c:minus>
              <c:numRef>
                <c:f>recirculation!$L$190:$L$194</c:f>
                <c:numCache>
                  <c:formatCode>General</c:formatCode>
                  <c:ptCount val="5"/>
                  <c:pt idx="2">
                    <c:v>0.38045046827413831</c:v>
                  </c:pt>
                  <c:pt idx="3">
                    <c:v>0.34756164754357238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recirculation!$C$167:$G$167</c:f>
              <c:numCache>
                <c:formatCode>General</c:formatCode>
                <c:ptCount val="5"/>
                <c:pt idx="2">
                  <c:v>2.7626537301250322</c:v>
                </c:pt>
                <c:pt idx="3">
                  <c:v>8.4471825008142289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6-41B6-9627-10D1FF499B74}"/>
            </c:ext>
          </c:extLst>
        </c:ser>
        <c:ser>
          <c:idx val="11"/>
          <c:order val="11"/>
          <c:tx>
            <c:v>30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recirculation!$M$190:$M$194</c:f>
                <c:numCache>
                  <c:formatCode>General</c:formatCode>
                  <c:ptCount val="5"/>
                  <c:pt idx="3">
                    <c:v>0.34177892399743121</c:v>
                  </c:pt>
                </c:numCache>
              </c:numRef>
            </c:plus>
            <c:minus>
              <c:numRef>
                <c:f>recirculation!$M$190:$M$194</c:f>
                <c:numCache>
                  <c:formatCode>General</c:formatCode>
                  <c:ptCount val="5"/>
                  <c:pt idx="3">
                    <c:v>0.34177892399743121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recirculation!$C$168:$G$168</c:f>
              <c:numCache>
                <c:formatCode>General</c:formatCode>
                <c:ptCount val="5"/>
                <c:pt idx="3">
                  <c:v>9.0819496941499462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06-41B6-9627-10D1FF499B74}"/>
            </c:ext>
          </c:extLst>
        </c:ser>
        <c:ser>
          <c:idx val="12"/>
          <c:order val="12"/>
          <c:tx>
            <c:v>42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recirculation!$N$190:$N$194</c:f>
                <c:numCache>
                  <c:formatCode>General</c:formatCode>
                  <c:ptCount val="5"/>
                  <c:pt idx="3">
                    <c:v>0.45139140339678674</c:v>
                  </c:pt>
                </c:numCache>
              </c:numRef>
            </c:plus>
            <c:minus>
              <c:numRef>
                <c:f>recirculation!$N$190:$N$194</c:f>
                <c:numCache>
                  <c:formatCode>General</c:formatCode>
                  <c:ptCount val="5"/>
                  <c:pt idx="3">
                    <c:v>0.45139140339678674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recirculation!$C$169:$G$169</c:f>
              <c:numCache>
                <c:formatCode>General</c:formatCode>
                <c:ptCount val="5"/>
                <c:pt idx="3">
                  <c:v>10.524996170430185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06-41B6-9627-10D1FF499B74}"/>
            </c:ext>
          </c:extLst>
        </c:ser>
        <c:ser>
          <c:idx val="13"/>
          <c:order val="13"/>
          <c:tx>
            <c:v>46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recirculation!$O$190:$O$194</c:f>
                <c:numCache>
                  <c:formatCode>General</c:formatCode>
                  <c:ptCount val="5"/>
                  <c:pt idx="3">
                    <c:v>0.4579589797433074</c:v>
                  </c:pt>
                </c:numCache>
              </c:numRef>
            </c:plus>
            <c:minus>
              <c:numRef>
                <c:f>recirculation!$O$190:$O$194</c:f>
                <c:numCache>
                  <c:formatCode>General</c:formatCode>
                  <c:ptCount val="5"/>
                  <c:pt idx="3">
                    <c:v>0.4579589797433074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recirculation!$C$170:$G$170</c:f>
              <c:numCache>
                <c:formatCode>General</c:formatCode>
                <c:ptCount val="5"/>
                <c:pt idx="3">
                  <c:v>10.93880993275976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06-41B6-9627-10D1FF499B74}"/>
            </c:ext>
          </c:extLst>
        </c:ser>
        <c:ser>
          <c:idx val="14"/>
          <c:order val="14"/>
          <c:tx>
            <c:v>50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recirculation!$P$190:$P$194</c:f>
                <c:numCache>
                  <c:formatCode>General</c:formatCode>
                  <c:ptCount val="5"/>
                  <c:pt idx="3">
                    <c:v>0.36831663640092249</c:v>
                  </c:pt>
                </c:numCache>
              </c:numRef>
            </c:plus>
            <c:minus>
              <c:numRef>
                <c:f>recirculation!$P$190:$P$194</c:f>
                <c:numCache>
                  <c:formatCode>General</c:formatCode>
                  <c:ptCount val="5"/>
                  <c:pt idx="3">
                    <c:v>0.36831663640092249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recirculation!$C$171:$G$171</c:f>
              <c:numCache>
                <c:formatCode>General</c:formatCode>
                <c:ptCount val="5"/>
                <c:pt idx="3">
                  <c:v>11.17309039080315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06-41B6-9627-10D1FF499B74}"/>
            </c:ext>
          </c:extLst>
        </c:ser>
        <c:ser>
          <c:idx val="15"/>
          <c:order val="15"/>
          <c:tx>
            <c:v>54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recirculation!$Q$190:$Q$194</c:f>
                <c:numCache>
                  <c:formatCode>General</c:formatCode>
                  <c:ptCount val="5"/>
                  <c:pt idx="3">
                    <c:v>0.44951395625967761</c:v>
                  </c:pt>
                </c:numCache>
              </c:numRef>
            </c:plus>
            <c:minus>
              <c:numRef>
                <c:f>recirculation!$Q$190:$Q$194</c:f>
                <c:numCache>
                  <c:formatCode>General</c:formatCode>
                  <c:ptCount val="5"/>
                  <c:pt idx="3">
                    <c:v>0.44951395625967761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recirculation!$C$172:$G$172</c:f>
              <c:numCache>
                <c:formatCode>General</c:formatCode>
                <c:ptCount val="5"/>
                <c:pt idx="3">
                  <c:v>11.244551191859893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06-41B6-9627-10D1FF499B74}"/>
            </c:ext>
          </c:extLst>
        </c:ser>
        <c:ser>
          <c:idx val="16"/>
          <c:order val="16"/>
          <c:tx>
            <c:v>65 hours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recirculation!$R$190:$R$194</c:f>
                <c:numCache>
                  <c:formatCode>General</c:formatCode>
                  <c:ptCount val="5"/>
                  <c:pt idx="3">
                    <c:v>0.54406286091929423</c:v>
                  </c:pt>
                </c:numCache>
              </c:numRef>
            </c:plus>
            <c:minus>
              <c:numRef>
                <c:f>recirculation!$R$190:$R$194</c:f>
                <c:numCache>
                  <c:formatCode>General</c:formatCode>
                  <c:ptCount val="5"/>
                  <c:pt idx="3">
                    <c:v>0.54406286091929423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recirculation!$C$173:$G$173</c:f>
              <c:numCache>
                <c:formatCode>General</c:formatCode>
                <c:ptCount val="5"/>
                <c:pt idx="3">
                  <c:v>11.575874745844754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06-41B6-9627-10D1FF499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135040"/>
        <c:axId val="118141312"/>
      </c:barChart>
      <c:catAx>
        <c:axId val="11813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500"/>
                  <a:t>[NH3] (mol/l)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8141312"/>
        <c:crossesAt val="1.0000000000000002E-3"/>
        <c:auto val="1"/>
        <c:lblAlgn val="ctr"/>
        <c:lblOffset val="100"/>
        <c:noMultiLvlLbl val="0"/>
      </c:catAx>
      <c:valAx>
        <c:axId val="118141312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500"/>
                  <a:t>Mass CO</a:t>
                </a:r>
                <a:r>
                  <a:rPr lang="en-US" sz="1500" baseline="-25000"/>
                  <a:t>2</a:t>
                </a:r>
                <a:r>
                  <a:rPr lang="en-US" sz="1500"/>
                  <a:t> absorbed (g)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8135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84310959501398"/>
          <c:y val="5.78020323372943E-2"/>
          <c:w val="0.10375131447331298"/>
          <c:h val="0.87215921372130278"/>
        </c:manualLayout>
      </c:layout>
      <c:overlay val="0"/>
      <c:txPr>
        <a:bodyPr/>
        <a:lstStyle/>
        <a:p>
          <a:pPr>
            <a:defRPr sz="15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Recirculations; Ql=4.55ml/min; Qg=50ml/min; VOL liq=100ml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0.02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recirculation!$V$253:$Z$253</c:f>
                <c:numCache>
                  <c:formatCode>General</c:formatCode>
                  <c:ptCount val="5"/>
                  <c:pt idx="0">
                    <c:v>3.0338953840388204E-5</c:v>
                  </c:pt>
                  <c:pt idx="1">
                    <c:v>1.9933884764983558E-5</c:v>
                  </c:pt>
                  <c:pt idx="2">
                    <c:v>9.4469838431098833E-5</c:v>
                  </c:pt>
                  <c:pt idx="3">
                    <c:v>1.146764179524263E-4</c:v>
                  </c:pt>
                  <c:pt idx="4">
                    <c:v>3.214402660206134E-4</c:v>
                  </c:pt>
                </c:numCache>
              </c:numRef>
            </c:plus>
            <c:minus>
              <c:numRef>
                <c:f>recirculation!$V$253:$Z$253</c:f>
                <c:numCache>
                  <c:formatCode>General</c:formatCode>
                  <c:ptCount val="5"/>
                  <c:pt idx="0">
                    <c:v>3.0338953840388204E-5</c:v>
                  </c:pt>
                  <c:pt idx="1">
                    <c:v>1.9933884764983558E-5</c:v>
                  </c:pt>
                  <c:pt idx="2">
                    <c:v>9.4469838431098833E-5</c:v>
                  </c:pt>
                  <c:pt idx="3">
                    <c:v>1.146764179524263E-4</c:v>
                  </c:pt>
                  <c:pt idx="4">
                    <c:v>3.214402660206134E-4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recirculation!$C$255:$G$255</c:f>
              <c:numCache>
                <c:formatCode>General</c:formatCode>
                <c:ptCount val="5"/>
                <c:pt idx="0">
                  <c:v>1.4042835683474137E-4</c:v>
                </c:pt>
                <c:pt idx="1">
                  <c:v>2.0825381744271875E-4</c:v>
                </c:pt>
                <c:pt idx="2">
                  <c:v>1.1861525827758089E-3</c:v>
                </c:pt>
                <c:pt idx="3">
                  <c:v>4.5420001033450444E-3</c:v>
                </c:pt>
                <c:pt idx="4">
                  <c:v>6.7852289802232272E-3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8-4E92-AC96-8D99170FBA27}"/>
            </c:ext>
          </c:extLst>
        </c:ser>
        <c:ser>
          <c:idx val="1"/>
          <c:order val="1"/>
          <c:tx>
            <c:v>0.2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recirculation!$V$254:$Z$254</c:f>
                <c:numCache>
                  <c:formatCode>General</c:formatCode>
                  <c:ptCount val="5"/>
                  <c:pt idx="0">
                    <c:v>2.5252651738826888E-4</c:v>
                  </c:pt>
                  <c:pt idx="1">
                    <c:v>2.0363904931726111E-4</c:v>
                  </c:pt>
                  <c:pt idx="2">
                    <c:v>4.182375494874575E-4</c:v>
                  </c:pt>
                  <c:pt idx="3">
                    <c:v>3.3508148820936496E-4</c:v>
                  </c:pt>
                  <c:pt idx="4">
                    <c:v>6.0074390820746241E-4</c:v>
                  </c:pt>
                </c:numCache>
              </c:numRef>
            </c:plus>
            <c:minus>
              <c:numRef>
                <c:f>recirculation!$V$254:$Z$254</c:f>
                <c:numCache>
                  <c:formatCode>General</c:formatCode>
                  <c:ptCount val="5"/>
                  <c:pt idx="0">
                    <c:v>2.5252651738826888E-4</c:v>
                  </c:pt>
                  <c:pt idx="1">
                    <c:v>2.0363904931726111E-4</c:v>
                  </c:pt>
                  <c:pt idx="2">
                    <c:v>4.182375494874575E-4</c:v>
                  </c:pt>
                  <c:pt idx="3">
                    <c:v>3.3508148820936496E-4</c:v>
                  </c:pt>
                  <c:pt idx="4">
                    <c:v>6.0074390820746241E-4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recirculation!$C$256:$G$256</c:f>
              <c:numCache>
                <c:formatCode>General</c:formatCode>
                <c:ptCount val="5"/>
                <c:pt idx="0">
                  <c:v>1.1906535127784077E-3</c:v>
                </c:pt>
                <c:pt idx="1">
                  <c:v>1.7981291149415436E-3</c:v>
                </c:pt>
                <c:pt idx="2">
                  <c:v>1.1604397817212623E-2</c:v>
                </c:pt>
                <c:pt idx="3">
                  <c:v>4.4336140652025041E-2</c:v>
                </c:pt>
                <c:pt idx="4">
                  <c:v>5.5695635985784059E-2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8-4E92-AC96-8D99170FBA27}"/>
            </c:ext>
          </c:extLst>
        </c:ser>
        <c:ser>
          <c:idx val="2"/>
          <c:order val="2"/>
          <c:tx>
            <c:v>0.5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recirculation!$V$255:$Z$255</c:f>
                <c:numCache>
                  <c:formatCode>General</c:formatCode>
                  <c:ptCount val="5"/>
                  <c:pt idx="0">
                    <c:v>1.0163814485442027E-3</c:v>
                  </c:pt>
                  <c:pt idx="1">
                    <c:v>4.023408069981011E-4</c:v>
                  </c:pt>
                  <c:pt idx="2">
                    <c:v>1.3925590288386329E-3</c:v>
                  </c:pt>
                  <c:pt idx="3">
                    <c:v>1.0976784810260462E-3</c:v>
                  </c:pt>
                  <c:pt idx="4">
                    <c:v>1.2104249205259544E-3</c:v>
                  </c:pt>
                </c:numCache>
              </c:numRef>
            </c:plus>
            <c:minus>
              <c:numRef>
                <c:f>recirculation!$V$255:$Z$255</c:f>
                <c:numCache>
                  <c:formatCode>General</c:formatCode>
                  <c:ptCount val="5"/>
                  <c:pt idx="0">
                    <c:v>1.0163814485442027E-3</c:v>
                  </c:pt>
                  <c:pt idx="1">
                    <c:v>4.023408069981011E-4</c:v>
                  </c:pt>
                  <c:pt idx="2">
                    <c:v>1.3925590288386329E-3</c:v>
                  </c:pt>
                  <c:pt idx="3">
                    <c:v>1.0976784810260462E-3</c:v>
                  </c:pt>
                  <c:pt idx="4">
                    <c:v>1.2104249205259544E-3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recirculation!$C$257:$G$257</c:f>
              <c:numCache>
                <c:formatCode>General</c:formatCode>
                <c:ptCount val="5"/>
                <c:pt idx="0">
                  <c:v>2.7951533715040939E-3</c:v>
                </c:pt>
                <c:pt idx="1">
                  <c:v>3.0067927350862721E-3</c:v>
                </c:pt>
                <c:pt idx="2">
                  <c:v>2.9641630712028896E-2</c:v>
                </c:pt>
                <c:pt idx="3">
                  <c:v>0.11453121830993508</c:v>
                </c:pt>
                <c:pt idx="4">
                  <c:v>0.15050497843269897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D8-4E92-AC96-8D99170FBA27}"/>
            </c:ext>
          </c:extLst>
        </c:ser>
        <c:ser>
          <c:idx val="3"/>
          <c:order val="3"/>
          <c:tx>
            <c:v>1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recirculation!$V$256:$Z$256</c:f>
                <c:numCache>
                  <c:formatCode>General</c:formatCode>
                  <c:ptCount val="5"/>
                  <c:pt idx="0">
                    <c:v>1.5925533669476069E-3</c:v>
                  </c:pt>
                  <c:pt idx="1">
                    <c:v>1.5916698864394897E-3</c:v>
                  </c:pt>
                  <c:pt idx="2">
                    <c:v>3.0407360958551108E-3</c:v>
                  </c:pt>
                  <c:pt idx="3">
                    <c:v>1.1305485527158066E-3</c:v>
                  </c:pt>
                  <c:pt idx="4">
                    <c:v>1.550932618274042E-2</c:v>
                  </c:pt>
                </c:numCache>
              </c:numRef>
            </c:plus>
            <c:minus>
              <c:numRef>
                <c:f>recirculation!$V$256:$Z$256</c:f>
                <c:numCache>
                  <c:formatCode>General</c:formatCode>
                  <c:ptCount val="5"/>
                  <c:pt idx="0">
                    <c:v>1.5925533669476069E-3</c:v>
                  </c:pt>
                  <c:pt idx="1">
                    <c:v>1.5916698864394897E-3</c:v>
                  </c:pt>
                  <c:pt idx="2">
                    <c:v>3.0407360958551108E-3</c:v>
                  </c:pt>
                  <c:pt idx="3">
                    <c:v>1.1305485527158066E-3</c:v>
                  </c:pt>
                  <c:pt idx="4">
                    <c:v>1.550932618274042E-2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recirculation!$C$258:$G$258</c:f>
              <c:numCache>
                <c:formatCode>General</c:formatCode>
                <c:ptCount val="5"/>
                <c:pt idx="0">
                  <c:v>4.9353573370653188E-3</c:v>
                </c:pt>
                <c:pt idx="1">
                  <c:v>4.7575503216948116E-3</c:v>
                </c:pt>
                <c:pt idx="2">
                  <c:v>5.0543767853445422E-2</c:v>
                </c:pt>
                <c:pt idx="3">
                  <c:v>0.18857742465372748</c:v>
                </c:pt>
                <c:pt idx="4">
                  <c:v>0.24872356586893221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D8-4E92-AC96-8D99170FBA27}"/>
            </c:ext>
          </c:extLst>
        </c:ser>
        <c:ser>
          <c:idx val="4"/>
          <c:order val="4"/>
          <c:tx>
            <c:v>1.5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recirculation!$V$257:$Z$257</c:f>
                <c:numCache>
                  <c:formatCode>General</c:formatCode>
                  <c:ptCount val="5"/>
                  <c:pt idx="0">
                    <c:v>2.0263111319223847E-3</c:v>
                  </c:pt>
                  <c:pt idx="1">
                    <c:v>2.1386656165680016E-3</c:v>
                  </c:pt>
                  <c:pt idx="2">
                    <c:v>4.9508168733146812E-3</c:v>
                  </c:pt>
                  <c:pt idx="3">
                    <c:v>1.6966837934643054E-3</c:v>
                  </c:pt>
                  <c:pt idx="4">
                    <c:v>1.6425812036089095E-2</c:v>
                  </c:pt>
                </c:numCache>
              </c:numRef>
            </c:plus>
            <c:minus>
              <c:numRef>
                <c:f>recirculation!$V$257:$Z$257</c:f>
                <c:numCache>
                  <c:formatCode>General</c:formatCode>
                  <c:ptCount val="5"/>
                  <c:pt idx="0">
                    <c:v>2.0263111319223847E-3</c:v>
                  </c:pt>
                  <c:pt idx="1">
                    <c:v>2.1386656165680016E-3</c:v>
                  </c:pt>
                  <c:pt idx="2">
                    <c:v>4.9508168733146812E-3</c:v>
                  </c:pt>
                  <c:pt idx="3">
                    <c:v>1.6966837934643054E-3</c:v>
                  </c:pt>
                  <c:pt idx="4">
                    <c:v>1.6425812036089095E-2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recirculation!$C$259:$G$259</c:f>
              <c:numCache>
                <c:formatCode>General</c:formatCode>
                <c:ptCount val="5"/>
                <c:pt idx="0">
                  <c:v>5.7501371118097843E-3</c:v>
                </c:pt>
                <c:pt idx="1">
                  <c:v>5.9104376284763276E-3</c:v>
                </c:pt>
                <c:pt idx="2">
                  <c:v>6.7247974071927966E-2</c:v>
                </c:pt>
                <c:pt idx="3">
                  <c:v>0.24544939612364816</c:v>
                </c:pt>
                <c:pt idx="4">
                  <c:v>0.32300197001141073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D8-4E92-AC96-8D99170FBA27}"/>
            </c:ext>
          </c:extLst>
        </c:ser>
        <c:ser>
          <c:idx val="5"/>
          <c:order val="5"/>
          <c:tx>
            <c:v>2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recirculation!$V$258:$Z$258</c:f>
                <c:numCache>
                  <c:formatCode>General</c:formatCode>
                  <c:ptCount val="5"/>
                  <c:pt idx="0">
                    <c:v>2.0582657850563412E-3</c:v>
                  </c:pt>
                  <c:pt idx="1">
                    <c:v>1.8963724185063417E-3</c:v>
                  </c:pt>
                  <c:pt idx="2">
                    <c:v>5.050385263226125E-3</c:v>
                  </c:pt>
                  <c:pt idx="3">
                    <c:v>6.6995787285252005E-3</c:v>
                  </c:pt>
                  <c:pt idx="4">
                    <c:v>1.6738316421828867E-2</c:v>
                  </c:pt>
                </c:numCache>
              </c:numRef>
            </c:plus>
            <c:minus>
              <c:numRef>
                <c:f>recirculation!$V$258:$Z$258</c:f>
                <c:numCache>
                  <c:formatCode>General</c:formatCode>
                  <c:ptCount val="5"/>
                  <c:pt idx="0">
                    <c:v>2.0582657850563412E-3</c:v>
                  </c:pt>
                  <c:pt idx="1">
                    <c:v>1.8963724185063417E-3</c:v>
                  </c:pt>
                  <c:pt idx="2">
                    <c:v>5.050385263226125E-3</c:v>
                  </c:pt>
                  <c:pt idx="3">
                    <c:v>6.6995787285252005E-3</c:v>
                  </c:pt>
                  <c:pt idx="4">
                    <c:v>1.6738316421828867E-2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recirculation!$C$260:$G$260</c:f>
              <c:numCache>
                <c:formatCode>General</c:formatCode>
                <c:ptCount val="5"/>
                <c:pt idx="0">
                  <c:v>6.3423974663965503E-3</c:v>
                </c:pt>
                <c:pt idx="1">
                  <c:v>6.7125373870030244E-3</c:v>
                </c:pt>
                <c:pt idx="2">
                  <c:v>7.9776854080503931E-2</c:v>
                </c:pt>
                <c:pt idx="3">
                  <c:v>0.29178056531791507</c:v>
                </c:pt>
                <c:pt idx="4">
                  <c:v>0.37909845302103706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D8-4E92-AC96-8D99170FBA27}"/>
            </c:ext>
          </c:extLst>
        </c:ser>
        <c:ser>
          <c:idx val="6"/>
          <c:order val="6"/>
          <c:tx>
            <c:v>4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recirculation!$V$259:$Z$259</c:f>
                <c:numCache>
                  <c:formatCode>General</c:formatCode>
                  <c:ptCount val="5"/>
                  <c:pt idx="0">
                    <c:v>3.8275844400105881E-3</c:v>
                  </c:pt>
                  <c:pt idx="1">
                    <c:v>5.3404478136744602E-3</c:v>
                  </c:pt>
                  <c:pt idx="2">
                    <c:v>1.0221887807540532E-2</c:v>
                  </c:pt>
                  <c:pt idx="3">
                    <c:v>2.4360197048588848E-2</c:v>
                  </c:pt>
                  <c:pt idx="4">
                    <c:v>1.8563897305213989E-2</c:v>
                  </c:pt>
                </c:numCache>
              </c:numRef>
            </c:plus>
            <c:minus>
              <c:numRef>
                <c:f>recirculation!$V$259:$Z$259</c:f>
                <c:numCache>
                  <c:formatCode>General</c:formatCode>
                  <c:ptCount val="5"/>
                  <c:pt idx="0">
                    <c:v>3.8275844400105881E-3</c:v>
                  </c:pt>
                  <c:pt idx="1">
                    <c:v>5.3404478136744602E-3</c:v>
                  </c:pt>
                  <c:pt idx="2">
                    <c:v>1.0221887807540532E-2</c:v>
                  </c:pt>
                  <c:pt idx="3">
                    <c:v>2.4360197048588848E-2</c:v>
                  </c:pt>
                  <c:pt idx="4">
                    <c:v>1.8563897305213989E-2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recirculation!$C$261:$G$261</c:f>
              <c:numCache>
                <c:formatCode>General</c:formatCode>
                <c:ptCount val="5"/>
                <c:pt idx="0">
                  <c:v>6.4903726520771123E-3</c:v>
                </c:pt>
                <c:pt idx="1">
                  <c:v>9.3302625171443193E-3</c:v>
                </c:pt>
                <c:pt idx="2">
                  <c:v>0.12135577442564953</c:v>
                </c:pt>
                <c:pt idx="3">
                  <c:v>0.38462648206518102</c:v>
                </c:pt>
                <c:pt idx="4">
                  <c:v>0.54950761693962724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D8-4E92-AC96-8D99170FBA27}"/>
            </c:ext>
          </c:extLst>
        </c:ser>
        <c:ser>
          <c:idx val="7"/>
          <c:order val="7"/>
          <c:tx>
            <c:v>6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recirculation!$V$260:$Z$260</c:f>
                <c:numCache>
                  <c:formatCode>General</c:formatCode>
                  <c:ptCount val="5"/>
                  <c:pt idx="2">
                    <c:v>1.4375176610998212E-2</c:v>
                  </c:pt>
                  <c:pt idx="3">
                    <c:v>2.0210061822894438E-2</c:v>
                  </c:pt>
                </c:numCache>
              </c:numRef>
            </c:plus>
            <c:minus>
              <c:numRef>
                <c:f>recirculation!$V$260:$Z$260</c:f>
                <c:numCache>
                  <c:formatCode>General</c:formatCode>
                  <c:ptCount val="5"/>
                  <c:pt idx="2">
                    <c:v>1.4375176610998212E-2</c:v>
                  </c:pt>
                  <c:pt idx="3">
                    <c:v>2.0210061822894438E-2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recirculation!$C$262:$G$262</c:f>
              <c:numCache>
                <c:formatCode>General</c:formatCode>
                <c:ptCount val="5"/>
                <c:pt idx="2">
                  <c:v>0.14495987258584012</c:v>
                </c:pt>
                <c:pt idx="3">
                  <c:v>0.47048879220257939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D8-4E92-AC96-8D99170FBA27}"/>
            </c:ext>
          </c:extLst>
        </c:ser>
        <c:ser>
          <c:idx val="8"/>
          <c:order val="8"/>
          <c:tx>
            <c:v>18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recirculation!$V$261:$Z$261</c:f>
                <c:numCache>
                  <c:formatCode>General</c:formatCode>
                  <c:ptCount val="5"/>
                  <c:pt idx="2">
                    <c:v>2.9228809523672412E-2</c:v>
                  </c:pt>
                  <c:pt idx="3">
                    <c:v>4.6412058929570406E-2</c:v>
                  </c:pt>
                </c:numCache>
              </c:numRef>
            </c:plus>
            <c:minus>
              <c:numRef>
                <c:f>recirculation!$V$261:$Z$261</c:f>
                <c:numCache>
                  <c:formatCode>General</c:formatCode>
                  <c:ptCount val="5"/>
                  <c:pt idx="2">
                    <c:v>2.9228809523672412E-2</c:v>
                  </c:pt>
                  <c:pt idx="3">
                    <c:v>4.6412058929570406E-2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recirculation!$C$263:$G$263</c:f>
              <c:numCache>
                <c:formatCode>General</c:formatCode>
                <c:ptCount val="5"/>
                <c:pt idx="2">
                  <c:v>0.26190621462878588</c:v>
                </c:pt>
                <c:pt idx="3">
                  <c:v>0.72775609434531774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D8-4E92-AC96-8D99170FBA27}"/>
            </c:ext>
          </c:extLst>
        </c:ser>
        <c:ser>
          <c:idx val="9"/>
          <c:order val="9"/>
          <c:tx>
            <c:v>22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recirculation!$V$262:$Z$262</c:f>
                <c:numCache>
                  <c:formatCode>General</c:formatCode>
                  <c:ptCount val="5"/>
                  <c:pt idx="2">
                    <c:v>3.2800733527801593E-2</c:v>
                  </c:pt>
                  <c:pt idx="3">
                    <c:v>3.7074059484304998E-2</c:v>
                  </c:pt>
                </c:numCache>
              </c:numRef>
            </c:plus>
            <c:minus>
              <c:numRef>
                <c:f>recirculation!$V$262:$Z$262</c:f>
                <c:numCache>
                  <c:formatCode>General</c:formatCode>
                  <c:ptCount val="5"/>
                  <c:pt idx="2">
                    <c:v>3.2800733527801593E-2</c:v>
                  </c:pt>
                  <c:pt idx="3">
                    <c:v>3.7074059484304998E-2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recirculation!$C$264:$G$264</c:f>
              <c:numCache>
                <c:formatCode>General</c:formatCode>
                <c:ptCount val="5"/>
                <c:pt idx="2">
                  <c:v>0.26694328172095627</c:v>
                </c:pt>
                <c:pt idx="3">
                  <c:v>0.77444726013828569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D8-4E92-AC96-8D99170FBA27}"/>
            </c:ext>
          </c:extLst>
        </c:ser>
        <c:ser>
          <c:idx val="10"/>
          <c:order val="10"/>
          <c:tx>
            <c:v>26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recirculation!$V$263:$Z$263</c:f>
                <c:numCache>
                  <c:formatCode>General</c:formatCode>
                  <c:ptCount val="5"/>
                  <c:pt idx="2">
                    <c:v>3.7261365782281008E-2</c:v>
                  </c:pt>
                  <c:pt idx="3">
                    <c:v>3.4040230623875845E-2</c:v>
                  </c:pt>
                </c:numCache>
              </c:numRef>
            </c:plus>
            <c:minus>
              <c:numRef>
                <c:f>recirculation!$V$263:$Z$263</c:f>
                <c:numCache>
                  <c:formatCode>General</c:formatCode>
                  <c:ptCount val="5"/>
                  <c:pt idx="2">
                    <c:v>3.7261365782281008E-2</c:v>
                  </c:pt>
                  <c:pt idx="3">
                    <c:v>3.4040230623875845E-2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recirculation!$C$265:$G$265</c:f>
              <c:numCache>
                <c:formatCode>General</c:formatCode>
                <c:ptCount val="5"/>
                <c:pt idx="2">
                  <c:v>0.27057464703604117</c:v>
                </c:pt>
                <c:pt idx="3">
                  <c:v>0.82731809588869187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D8-4E92-AC96-8D99170FBA27}"/>
            </c:ext>
          </c:extLst>
        </c:ser>
        <c:ser>
          <c:idx val="11"/>
          <c:order val="11"/>
          <c:tx>
            <c:v>30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recirculation!$V$264:$Z$264</c:f>
                <c:numCache>
                  <c:formatCode>General</c:formatCode>
                  <c:ptCount val="5"/>
                  <c:pt idx="3">
                    <c:v>3.347386996660548E-2</c:v>
                  </c:pt>
                </c:numCache>
              </c:numRef>
            </c:plus>
            <c:minus>
              <c:numRef>
                <c:f>recirculation!$V$264:$Z$264</c:f>
                <c:numCache>
                  <c:formatCode>General</c:formatCode>
                  <c:ptCount val="5"/>
                  <c:pt idx="3">
                    <c:v>3.347386996660548E-2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recirculation!$C$266:$G$266</c:f>
              <c:numCache>
                <c:formatCode>General</c:formatCode>
                <c:ptCount val="5"/>
                <c:pt idx="3">
                  <c:v>0.88948727308742004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D8-4E92-AC96-8D99170FBA27}"/>
            </c:ext>
          </c:extLst>
        </c:ser>
        <c:ser>
          <c:idx val="12"/>
          <c:order val="12"/>
          <c:tx>
            <c:v>42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recirculation!$V$265:$Z$265</c:f>
                <c:numCache>
                  <c:formatCode>General</c:formatCode>
                  <c:ptCount val="5"/>
                  <c:pt idx="3">
                    <c:v>4.4209329717069222E-2</c:v>
                  </c:pt>
                </c:numCache>
              </c:numRef>
            </c:plus>
            <c:minus>
              <c:numRef>
                <c:f>recirculation!$V$265:$Z$265</c:f>
                <c:numCache>
                  <c:formatCode>General</c:formatCode>
                  <c:ptCount val="5"/>
                  <c:pt idx="3">
                    <c:v>4.4209329717069222E-2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recirculation!$C$267:$G$267</c:f>
              <c:numCache>
                <c:formatCode>General</c:formatCode>
                <c:ptCount val="5"/>
                <c:pt idx="3">
                  <c:v>1.0308194229397498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ED8-4E92-AC96-8D99170FBA27}"/>
            </c:ext>
          </c:extLst>
        </c:ser>
        <c:ser>
          <c:idx val="13"/>
          <c:order val="13"/>
          <c:tx>
            <c:v>46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recirculation!$V$266:$Z$266</c:f>
                <c:numCache>
                  <c:formatCode>General</c:formatCode>
                  <c:ptCount val="5"/>
                  <c:pt idx="3">
                    <c:v>4.4852558954401822E-2</c:v>
                  </c:pt>
                </c:numCache>
              </c:numRef>
            </c:plus>
            <c:minus>
              <c:numRef>
                <c:f>recirculation!$V$266:$Z$266</c:f>
                <c:numCache>
                  <c:formatCode>General</c:formatCode>
                  <c:ptCount val="5"/>
                  <c:pt idx="3">
                    <c:v>4.4852558954401822E-2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recirculation!$C$268:$G$268</c:f>
              <c:numCache>
                <c:formatCode>General</c:formatCode>
                <c:ptCount val="5"/>
                <c:pt idx="3">
                  <c:v>1.0713483938563886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D8-4E92-AC96-8D99170FBA27}"/>
            </c:ext>
          </c:extLst>
        </c:ser>
        <c:ser>
          <c:idx val="14"/>
          <c:order val="14"/>
          <c:tx>
            <c:v>50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recirculation!$V$267:$Z$267</c:f>
                <c:numCache>
                  <c:formatCode>General</c:formatCode>
                  <c:ptCount val="5"/>
                  <c:pt idx="3">
                    <c:v>3.6072976792198654E-2</c:v>
                  </c:pt>
                </c:numCache>
              </c:numRef>
            </c:plus>
            <c:minus>
              <c:numRef>
                <c:f>recirculation!$V$267:$Z$267</c:f>
                <c:numCache>
                  <c:formatCode>General</c:formatCode>
                  <c:ptCount val="5"/>
                  <c:pt idx="3">
                    <c:v>3.6072976792198654E-2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recirculation!$C$269:$G$269</c:f>
              <c:numCache>
                <c:formatCode>General</c:formatCode>
                <c:ptCount val="5"/>
                <c:pt idx="3">
                  <c:v>1.0942938508100777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D8-4E92-AC96-8D99170FBA27}"/>
            </c:ext>
          </c:extLst>
        </c:ser>
        <c:ser>
          <c:idx val="15"/>
          <c:order val="15"/>
          <c:tx>
            <c:v>54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recirculation!$V$268:$Z$268</c:f>
                <c:numCache>
                  <c:formatCode>General</c:formatCode>
                  <c:ptCount val="5"/>
                  <c:pt idx="3">
                    <c:v>4.402545231292241E-2</c:v>
                  </c:pt>
                </c:numCache>
              </c:numRef>
            </c:plus>
            <c:minus>
              <c:numRef>
                <c:f>recirculation!$V$268:$Z$268</c:f>
                <c:numCache>
                  <c:formatCode>General</c:formatCode>
                  <c:ptCount val="5"/>
                  <c:pt idx="3">
                    <c:v>4.402545231292241E-2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recirculation!$C$270:$G$270</c:f>
              <c:numCache>
                <c:formatCode>General</c:formatCode>
                <c:ptCount val="5"/>
                <c:pt idx="3">
                  <c:v>1.1012927304785645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D8-4E92-AC96-8D99170FBA27}"/>
            </c:ext>
          </c:extLst>
        </c:ser>
        <c:ser>
          <c:idx val="16"/>
          <c:order val="16"/>
          <c:tx>
            <c:v>65</c:v>
          </c:tx>
          <c:invertIfNegative val="0"/>
          <c:errBars>
            <c:errBarType val="both"/>
            <c:errValType val="cust"/>
            <c:noEndCap val="0"/>
            <c:plus>
              <c:numRef>
                <c:f>recirculation!$V$269:$Z$269</c:f>
                <c:numCache>
                  <c:formatCode>General</c:formatCode>
                  <c:ptCount val="5"/>
                  <c:pt idx="3">
                    <c:v>5.3285583695642652E-2</c:v>
                  </c:pt>
                </c:numCache>
              </c:numRef>
            </c:plus>
            <c:minus>
              <c:numRef>
                <c:f>recirculation!$V$269:$Z$269</c:f>
                <c:numCache>
                  <c:formatCode>General</c:formatCode>
                  <c:ptCount val="5"/>
                  <c:pt idx="3">
                    <c:v>5.3285583695642652E-2</c:v>
                  </c:pt>
                </c:numCache>
              </c:numRef>
            </c:minus>
          </c:errBars>
          <c:cat>
            <c:numRef>
              <c:f>recirculation!$C$155:$G$155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0.06</c:v>
                </c:pt>
                <c:pt idx="2">
                  <c:v>0.6</c:v>
                </c:pt>
                <c:pt idx="3">
                  <c:v>2.2999999999999998</c:v>
                </c:pt>
                <c:pt idx="4">
                  <c:v>3</c:v>
                </c:pt>
              </c:numCache>
            </c:numRef>
          </c:cat>
          <c:val>
            <c:numRef>
              <c:f>recirculation!$C$271:$G$271</c:f>
              <c:numCache>
                <c:formatCode>General</c:formatCode>
                <c:ptCount val="5"/>
                <c:pt idx="3">
                  <c:v>1.1337426002167175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D8-4E92-AC96-8D99170F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28224"/>
        <c:axId val="119430144"/>
      </c:barChart>
      <c:catAx>
        <c:axId val="11942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500"/>
                  <a:t>[NH3] (mol/l)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430144"/>
        <c:crossesAt val="1.0000000000000004E-6"/>
        <c:auto val="1"/>
        <c:lblAlgn val="ctr"/>
        <c:lblOffset val="100"/>
        <c:noMultiLvlLbl val="0"/>
      </c:catAx>
      <c:valAx>
        <c:axId val="119430144"/>
        <c:scaling>
          <c:logBase val="10"/>
          <c:orientation val="minMax"/>
          <c:min val="1.0000000000000003E-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500"/>
                  <a:t>Ssol/S*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428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178133701259732"/>
          <c:y val="7.48059534101264E-2"/>
          <c:w val="0.10313343965303255"/>
          <c:h val="0.88482889938673404"/>
        </c:manualLayout>
      </c:layout>
      <c:overlay val="0"/>
      <c:txPr>
        <a:bodyPr/>
        <a:lstStyle/>
        <a:p>
          <a:pPr>
            <a:defRPr sz="15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Qg=50ml/min; VOL liq=100ml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77E-2"/>
          <c:y val="0.10702295599707133"/>
          <c:w val="0.78813719181362629"/>
          <c:h val="0.71952231368613961"/>
        </c:manualLayout>
      </c:layout>
      <c:scatterChart>
        <c:scatterStyle val="lineMarker"/>
        <c:varyColors val="0"/>
        <c:ser>
          <c:idx val="0"/>
          <c:order val="0"/>
          <c:tx>
            <c:v>NH3 3M a</c:v>
          </c:tx>
          <c:spPr>
            <a:ln w="28575">
              <a:noFill/>
            </a:ln>
          </c:spPr>
          <c:marker>
            <c:symbol val="diamond"/>
            <c:size val="7"/>
          </c:marker>
          <c:errBars>
            <c:errDir val="y"/>
            <c:errBarType val="both"/>
            <c:errValType val="cust"/>
            <c:noEndCap val="0"/>
            <c:plus>
              <c:numRef>
                <c:f>recirculation!$AQ$289:$AQ$295</c:f>
                <c:numCache>
                  <c:formatCode>General</c:formatCode>
                  <c:ptCount val="7"/>
                  <c:pt idx="0">
                    <c:v>0.67322027906615434</c:v>
                  </c:pt>
                  <c:pt idx="1">
                    <c:v>0.51090903943758992</c:v>
                  </c:pt>
                  <c:pt idx="2">
                    <c:v>1.532572090249412</c:v>
                  </c:pt>
                  <c:pt idx="3">
                    <c:v>0.51935637943014512</c:v>
                  </c:pt>
                  <c:pt idx="4">
                    <c:v>1.2818729058330089</c:v>
                  </c:pt>
                  <c:pt idx="5">
                    <c:v>1.3166487742546733</c:v>
                  </c:pt>
                  <c:pt idx="6">
                    <c:v>0.14007378860337868</c:v>
                  </c:pt>
                </c:numCache>
              </c:numRef>
            </c:plus>
            <c:minus>
              <c:numRef>
                <c:f>recirculation!$AQ$289:$AQ$295</c:f>
                <c:numCache>
                  <c:formatCode>General</c:formatCode>
                  <c:ptCount val="7"/>
                  <c:pt idx="0">
                    <c:v>0.67322027906615434</c:v>
                  </c:pt>
                  <c:pt idx="1">
                    <c:v>0.51090903943758992</c:v>
                  </c:pt>
                  <c:pt idx="2">
                    <c:v>1.532572090249412</c:v>
                  </c:pt>
                  <c:pt idx="3">
                    <c:v>0.51935637943014512</c:v>
                  </c:pt>
                  <c:pt idx="4">
                    <c:v>1.2818729058330089</c:v>
                  </c:pt>
                  <c:pt idx="5">
                    <c:v>1.3166487742546733</c:v>
                  </c:pt>
                  <c:pt idx="6">
                    <c:v>0.14007378860337868</c:v>
                  </c:pt>
                </c:numCache>
              </c:numRef>
            </c:minus>
            <c:spPr>
              <a:ln>
                <a:solidFill>
                  <a:srgbClr val="00B0F0"/>
                </a:solidFill>
              </a:ln>
            </c:spPr>
          </c:errBars>
          <c:xVal>
            <c:numRef>
              <c:f>recirculation!$G$316:$G$323</c:f>
              <c:numCache>
                <c:formatCode>General</c:formatCode>
                <c:ptCount val="8"/>
                <c:pt idx="0">
                  <c:v>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90</c:v>
                </c:pt>
                <c:pt idx="5">
                  <c:v>120</c:v>
                </c:pt>
                <c:pt idx="6">
                  <c:v>180</c:v>
                </c:pt>
                <c:pt idx="7">
                  <c:v>240</c:v>
                </c:pt>
              </c:numCache>
            </c:numRef>
          </c:xVal>
          <c:yVal>
            <c:numRef>
              <c:f>recirculation!$H$316:$H$323</c:f>
              <c:numCache>
                <c:formatCode>General</c:formatCode>
                <c:ptCount val="8"/>
                <c:pt idx="0">
                  <c:v>16.293563853584732</c:v>
                </c:pt>
                <c:pt idx="1">
                  <c:v>14.579320823243897</c:v>
                </c:pt>
                <c:pt idx="2">
                  <c:v>10.994354575141212</c:v>
                </c:pt>
                <c:pt idx="3">
                  <c:v>8.147637842549555</c:v>
                </c:pt>
                <c:pt idx="4">
                  <c:v>6.82775075045706</c:v>
                </c:pt>
                <c:pt idx="5">
                  <c:v>6.5078230332005074</c:v>
                </c:pt>
                <c:pt idx="6">
                  <c:v>6.746320419101048</c:v>
                </c:pt>
                <c:pt idx="7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75-42CB-9A1B-0188B55BC5FB}"/>
            </c:ext>
          </c:extLst>
        </c:ser>
        <c:ser>
          <c:idx val="1"/>
          <c:order val="1"/>
          <c:tx>
            <c:v>NH3 3M b</c:v>
          </c:tx>
          <c:spPr>
            <a:ln w="28575">
              <a:noFill/>
            </a:ln>
          </c:spPr>
          <c:marker>
            <c:symbol val="square"/>
            <c:size val="7"/>
          </c:marker>
          <c:errBars>
            <c:errDir val="y"/>
            <c:errBarType val="both"/>
            <c:errValType val="cust"/>
            <c:noEndCap val="0"/>
            <c:plus>
              <c:numRef>
                <c:f>recirculation!$AQ$311:$AQ$317</c:f>
                <c:numCache>
                  <c:formatCode>General</c:formatCode>
                  <c:ptCount val="7"/>
                  <c:pt idx="0">
                    <c:v>0.32412014510454656</c:v>
                  </c:pt>
                  <c:pt idx="1">
                    <c:v>0.37763741689862274</c:v>
                  </c:pt>
                  <c:pt idx="2">
                    <c:v>0.2629187838227966</c:v>
                  </c:pt>
                  <c:pt idx="3">
                    <c:v>0.29141567504251997</c:v>
                  </c:pt>
                  <c:pt idx="4">
                    <c:v>0.16474228259412999</c:v>
                  </c:pt>
                  <c:pt idx="5">
                    <c:v>0.30075114885783005</c:v>
                  </c:pt>
                  <c:pt idx="6">
                    <c:v>0.87791521522189608</c:v>
                  </c:pt>
                </c:numCache>
              </c:numRef>
            </c:plus>
            <c:minus>
              <c:numRef>
                <c:f>recirculation!$AQ$311:$AQ$317</c:f>
                <c:numCache>
                  <c:formatCode>General</c:formatCode>
                  <c:ptCount val="7"/>
                  <c:pt idx="0">
                    <c:v>0.32412014510454656</c:v>
                  </c:pt>
                  <c:pt idx="1">
                    <c:v>0.37763741689862274</c:v>
                  </c:pt>
                  <c:pt idx="2">
                    <c:v>0.2629187838227966</c:v>
                  </c:pt>
                  <c:pt idx="3">
                    <c:v>0.29141567504251997</c:v>
                  </c:pt>
                  <c:pt idx="4">
                    <c:v>0.16474228259412999</c:v>
                  </c:pt>
                  <c:pt idx="5">
                    <c:v>0.30075114885783005</c:v>
                  </c:pt>
                  <c:pt idx="6">
                    <c:v>0.87791521522189608</c:v>
                  </c:pt>
                </c:numCache>
              </c:numRef>
            </c:minus>
          </c:errBars>
          <c:xVal>
            <c:numRef>
              <c:f>recirculation!$G$316:$G$323</c:f>
              <c:numCache>
                <c:formatCode>General</c:formatCode>
                <c:ptCount val="8"/>
                <c:pt idx="0">
                  <c:v>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90</c:v>
                </c:pt>
                <c:pt idx="5">
                  <c:v>120</c:v>
                </c:pt>
                <c:pt idx="6">
                  <c:v>180</c:v>
                </c:pt>
                <c:pt idx="7">
                  <c:v>240</c:v>
                </c:pt>
              </c:numCache>
            </c:numRef>
          </c:xVal>
          <c:yVal>
            <c:numRef>
              <c:f>recirculation!$I$316:$I$323</c:f>
              <c:numCache>
                <c:formatCode>General</c:formatCode>
                <c:ptCount val="8"/>
                <c:pt idx="0">
                  <c:v>17.426447563790319</c:v>
                </c:pt>
                <c:pt idx="1">
                  <c:v>15.515984911619588</c:v>
                </c:pt>
                <c:pt idx="2">
                  <c:v>12.001264633383139</c:v>
                </c:pt>
                <c:pt idx="3">
                  <c:v>9.3832679475045939</c:v>
                </c:pt>
                <c:pt idx="4">
                  <c:v>6.6058028525170522</c:v>
                </c:pt>
                <c:pt idx="5">
                  <c:v>4.4821025967010915</c:v>
                </c:pt>
                <c:pt idx="6">
                  <c:v>2.8578655044690113</c:v>
                </c:pt>
                <c:pt idx="7">
                  <c:v>2.9502196331725696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75-42CB-9A1B-0188B55BC5FB}"/>
            </c:ext>
          </c:extLst>
        </c:ser>
        <c:ser>
          <c:idx val="2"/>
          <c:order val="2"/>
          <c:tx>
            <c:v>NH3 3M c</c:v>
          </c:tx>
          <c:spPr>
            <a:ln w="28575">
              <a:noFill/>
            </a:ln>
          </c:spPr>
          <c:marker>
            <c:symbol val="triangle"/>
            <c:size val="7"/>
          </c:marker>
          <c:errBars>
            <c:errDir val="y"/>
            <c:errBarType val="both"/>
            <c:errValType val="cust"/>
            <c:noEndCap val="0"/>
            <c:plus>
              <c:numRef>
                <c:f>recirculation!$J$326:$J$333</c:f>
                <c:numCache>
                  <c:formatCode>General</c:formatCode>
                  <c:ptCount val="8"/>
                  <c:pt idx="0">
                    <c:v>0.86043777220240403</c:v>
                  </c:pt>
                  <c:pt idx="1">
                    <c:v>0.27064988277112456</c:v>
                  </c:pt>
                  <c:pt idx="2">
                    <c:v>9.5797915691049715E-2</c:v>
                  </c:pt>
                  <c:pt idx="3">
                    <c:v>0.2159150999701675</c:v>
                  </c:pt>
                  <c:pt idx="4">
                    <c:v>0.19431919760966718</c:v>
                  </c:pt>
                  <c:pt idx="5">
                    <c:v>7.7596238065056805E-2</c:v>
                  </c:pt>
                  <c:pt idx="6">
                    <c:v>0</c:v>
                  </c:pt>
                  <c:pt idx="7">
                    <c:v>0.10891080542974139</c:v>
                  </c:pt>
                </c:numCache>
              </c:numRef>
            </c:plus>
            <c:minus>
              <c:numRef>
                <c:f>recirculation!$J$326:$J$333</c:f>
                <c:numCache>
                  <c:formatCode>General</c:formatCode>
                  <c:ptCount val="8"/>
                  <c:pt idx="0">
                    <c:v>0.86043777220240403</c:v>
                  </c:pt>
                  <c:pt idx="1">
                    <c:v>0.27064988277112456</c:v>
                  </c:pt>
                  <c:pt idx="2">
                    <c:v>9.5797915691049715E-2</c:v>
                  </c:pt>
                  <c:pt idx="3">
                    <c:v>0.2159150999701675</c:v>
                  </c:pt>
                  <c:pt idx="4">
                    <c:v>0.19431919760966718</c:v>
                  </c:pt>
                  <c:pt idx="5">
                    <c:v>7.7596238065056805E-2</c:v>
                  </c:pt>
                  <c:pt idx="6">
                    <c:v>0</c:v>
                  </c:pt>
                  <c:pt idx="7">
                    <c:v>0.10891080542974139</c:v>
                  </c:pt>
                </c:numCache>
              </c:numRef>
            </c:minus>
            <c:spPr>
              <a:ln>
                <a:solidFill>
                  <a:srgbClr val="00B050"/>
                </a:solidFill>
              </a:ln>
            </c:spPr>
          </c:errBars>
          <c:xVal>
            <c:numRef>
              <c:f>recirculation!$G$316:$G$323</c:f>
              <c:numCache>
                <c:formatCode>General</c:formatCode>
                <c:ptCount val="8"/>
                <c:pt idx="0">
                  <c:v>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90</c:v>
                </c:pt>
                <c:pt idx="5">
                  <c:v>120</c:v>
                </c:pt>
                <c:pt idx="6">
                  <c:v>180</c:v>
                </c:pt>
                <c:pt idx="7">
                  <c:v>240</c:v>
                </c:pt>
              </c:numCache>
            </c:numRef>
          </c:xVal>
          <c:yVal>
            <c:numRef>
              <c:f>recirculation!$J$316:$J$323</c:f>
              <c:numCache>
                <c:formatCode>General</c:formatCode>
                <c:ptCount val="8"/>
                <c:pt idx="0">
                  <c:v>18.162837468694921</c:v>
                </c:pt>
                <c:pt idx="1">
                  <c:v>14.547151295834921</c:v>
                </c:pt>
                <c:pt idx="2">
                  <c:v>12.68937778221083</c:v>
                </c:pt>
                <c:pt idx="3">
                  <c:v>8.7637830411161524</c:v>
                </c:pt>
                <c:pt idx="4">
                  <c:v>6.6276642287046723</c:v>
                </c:pt>
                <c:pt idx="5">
                  <c:v>5.0053398170198493</c:v>
                </c:pt>
                <c:pt idx="6">
                  <c:v>4.5</c:v>
                </c:pt>
                <c:pt idx="7">
                  <c:v>3.8012889916842547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75-42CB-9A1B-0188B55BC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95232"/>
        <c:axId val="119705600"/>
      </c:scatterChart>
      <c:valAx>
        <c:axId val="11969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/>
                  <a:t>time</a:t>
                </a:r>
                <a:r>
                  <a:rPr lang="en-GB" sz="1500" baseline="0"/>
                  <a:t> (min)</a:t>
                </a:r>
                <a:endParaRPr lang="en-GB" sz="15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9705600"/>
        <c:crosses val="autoZero"/>
        <c:crossBetween val="midCat"/>
      </c:valAx>
      <c:valAx>
        <c:axId val="1197056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JCO</a:t>
                </a:r>
                <a:r>
                  <a:rPr lang="en-US" sz="1500" baseline="-25000"/>
                  <a:t>2</a:t>
                </a:r>
                <a:r>
                  <a:rPr lang="en-US" sz="1500"/>
                  <a:t> (*10</a:t>
                </a:r>
                <a:r>
                  <a:rPr lang="en-US" sz="1500" baseline="30000"/>
                  <a:t>3</a:t>
                </a:r>
                <a:r>
                  <a:rPr lang="en-US" sz="1500"/>
                  <a:t>molCO</a:t>
                </a:r>
                <a:r>
                  <a:rPr lang="en-US" sz="1500" baseline="-25000"/>
                  <a:t>2</a:t>
                </a:r>
                <a:r>
                  <a:rPr lang="en-US" sz="1500"/>
                  <a:t>/m</a:t>
                </a:r>
                <a:r>
                  <a:rPr lang="en-US" sz="1500" baseline="30000"/>
                  <a:t>2</a:t>
                </a:r>
                <a:r>
                  <a:rPr lang="en-US" sz="1500"/>
                  <a:t>*s)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9695232"/>
        <c:crosses val="autoZero"/>
        <c:crossBetween val="midCat"/>
        <c:majorUnit val="2"/>
        <c:minorUnit val="4.0000000000000015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[NH3]</a:t>
            </a:r>
            <a:r>
              <a:rPr lang="en-US" sz="1000" baseline="0"/>
              <a:t> 3M</a:t>
            </a:r>
            <a:r>
              <a:rPr lang="en-US" sz="1000"/>
              <a:t>; VOL liq=100ml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77E-2"/>
          <c:y val="0.10702295599707133"/>
          <c:w val="0.78813719181362629"/>
          <c:h val="0.71952231368613961"/>
        </c:manualLayout>
      </c:layout>
      <c:scatterChart>
        <c:scatterStyle val="lineMarker"/>
        <c:varyColors val="0"/>
        <c:ser>
          <c:idx val="0"/>
          <c:order val="0"/>
          <c:tx>
            <c:v>50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recirculation!$AQ$289:$AQ$295</c:f>
                <c:numCache>
                  <c:formatCode>General</c:formatCode>
                  <c:ptCount val="7"/>
                  <c:pt idx="0">
                    <c:v>0.67322027906615434</c:v>
                  </c:pt>
                  <c:pt idx="1">
                    <c:v>0.51090903943758992</c:v>
                  </c:pt>
                  <c:pt idx="2">
                    <c:v>1.532572090249412</c:v>
                  </c:pt>
                  <c:pt idx="3">
                    <c:v>0.51935637943014512</c:v>
                  </c:pt>
                  <c:pt idx="4">
                    <c:v>1.2818729058330089</c:v>
                  </c:pt>
                  <c:pt idx="5">
                    <c:v>1.3166487742546733</c:v>
                  </c:pt>
                  <c:pt idx="6">
                    <c:v>0.14007378860337868</c:v>
                  </c:pt>
                </c:numCache>
              </c:numRef>
            </c:plus>
            <c:minus>
              <c:numRef>
                <c:f>recirculation!$AQ$289:$AQ$295</c:f>
                <c:numCache>
                  <c:formatCode>General</c:formatCode>
                  <c:ptCount val="7"/>
                  <c:pt idx="0">
                    <c:v>0.67322027906615434</c:v>
                  </c:pt>
                  <c:pt idx="1">
                    <c:v>0.51090903943758992</c:v>
                  </c:pt>
                  <c:pt idx="2">
                    <c:v>1.532572090249412</c:v>
                  </c:pt>
                  <c:pt idx="3">
                    <c:v>0.51935637943014512</c:v>
                  </c:pt>
                  <c:pt idx="4">
                    <c:v>1.2818729058330089</c:v>
                  </c:pt>
                  <c:pt idx="5">
                    <c:v>1.3166487742546733</c:v>
                  </c:pt>
                  <c:pt idx="6">
                    <c:v>0.14007378860337868</c:v>
                  </c:pt>
                </c:numCache>
              </c:numRef>
            </c:minus>
            <c:spPr>
              <a:ln>
                <a:solidFill>
                  <a:schemeClr val="tx1"/>
                </a:solidFill>
              </a:ln>
            </c:spPr>
          </c:errBars>
          <c:xVal>
            <c:numRef>
              <c:f>recirculation!$F$316:$F$323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</c:numCache>
            </c:numRef>
          </c:xVal>
          <c:yVal>
            <c:numRef>
              <c:f>recirculation!$H$316:$H$323</c:f>
              <c:numCache>
                <c:formatCode>General</c:formatCode>
                <c:ptCount val="8"/>
                <c:pt idx="0">
                  <c:v>16.293563853584732</c:v>
                </c:pt>
                <c:pt idx="1">
                  <c:v>14.579320823243897</c:v>
                </c:pt>
                <c:pt idx="2">
                  <c:v>10.994354575141212</c:v>
                </c:pt>
                <c:pt idx="3">
                  <c:v>8.147637842549555</c:v>
                </c:pt>
                <c:pt idx="4">
                  <c:v>6.82775075045706</c:v>
                </c:pt>
                <c:pt idx="5">
                  <c:v>6.5078230332005074</c:v>
                </c:pt>
                <c:pt idx="6">
                  <c:v>6.746320419101048</c:v>
                </c:pt>
                <c:pt idx="7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8A-4346-A549-10C7F60AFA12}"/>
            </c:ext>
          </c:extLst>
        </c:ser>
        <c:ser>
          <c:idx val="1"/>
          <c:order val="1"/>
          <c:tx>
            <c:v>40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recirculation!$AQ$311:$AQ$317</c:f>
                <c:numCache>
                  <c:formatCode>General</c:formatCode>
                  <c:ptCount val="7"/>
                  <c:pt idx="0">
                    <c:v>0.32412014510454656</c:v>
                  </c:pt>
                  <c:pt idx="1">
                    <c:v>0.37763741689862274</c:v>
                  </c:pt>
                  <c:pt idx="2">
                    <c:v>0.2629187838227966</c:v>
                  </c:pt>
                  <c:pt idx="3">
                    <c:v>0.29141567504251997</c:v>
                  </c:pt>
                  <c:pt idx="4">
                    <c:v>0.16474228259412999</c:v>
                  </c:pt>
                  <c:pt idx="5">
                    <c:v>0.30075114885783005</c:v>
                  </c:pt>
                  <c:pt idx="6">
                    <c:v>0.87791521522189608</c:v>
                  </c:pt>
                </c:numCache>
              </c:numRef>
            </c:plus>
            <c:minus>
              <c:numRef>
                <c:f>recirculation!$AQ$311:$AQ$317</c:f>
                <c:numCache>
                  <c:formatCode>General</c:formatCode>
                  <c:ptCount val="7"/>
                  <c:pt idx="0">
                    <c:v>0.32412014510454656</c:v>
                  </c:pt>
                  <c:pt idx="1">
                    <c:v>0.37763741689862274</c:v>
                  </c:pt>
                  <c:pt idx="2">
                    <c:v>0.2629187838227966</c:v>
                  </c:pt>
                  <c:pt idx="3">
                    <c:v>0.29141567504251997</c:v>
                  </c:pt>
                  <c:pt idx="4">
                    <c:v>0.16474228259412999</c:v>
                  </c:pt>
                  <c:pt idx="5">
                    <c:v>0.30075114885783005</c:v>
                  </c:pt>
                  <c:pt idx="6">
                    <c:v>0.87791521522189608</c:v>
                  </c:pt>
                </c:numCache>
              </c:numRef>
            </c:minus>
            <c:spPr>
              <a:ln>
                <a:solidFill>
                  <a:srgbClr val="00B050"/>
                </a:solidFill>
              </a:ln>
            </c:spPr>
          </c:errBars>
          <c:xVal>
            <c:numRef>
              <c:f>recirculation!$F$316:$F$323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</c:numCache>
            </c:numRef>
          </c:xVal>
          <c:yVal>
            <c:numRef>
              <c:f>recirculation!$I$316:$I$323</c:f>
              <c:numCache>
                <c:formatCode>General</c:formatCode>
                <c:ptCount val="8"/>
                <c:pt idx="0">
                  <c:v>17.426447563790319</c:v>
                </c:pt>
                <c:pt idx="1">
                  <c:v>15.515984911619588</c:v>
                </c:pt>
                <c:pt idx="2">
                  <c:v>12.001264633383139</c:v>
                </c:pt>
                <c:pt idx="3">
                  <c:v>9.3832679475045939</c:v>
                </c:pt>
                <c:pt idx="4">
                  <c:v>6.6058028525170522</c:v>
                </c:pt>
                <c:pt idx="5">
                  <c:v>4.4821025967010915</c:v>
                </c:pt>
                <c:pt idx="6">
                  <c:v>2.8578655044690113</c:v>
                </c:pt>
                <c:pt idx="7">
                  <c:v>2.9502196331725696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8A-4346-A549-10C7F60AFA12}"/>
            </c:ext>
          </c:extLst>
        </c:ser>
        <c:ser>
          <c:idx val="2"/>
          <c:order val="2"/>
          <c:tx>
            <c:v>30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recirculation!$J$326:$J$333</c:f>
                <c:numCache>
                  <c:formatCode>General</c:formatCode>
                  <c:ptCount val="8"/>
                  <c:pt idx="0">
                    <c:v>0.86043777220240403</c:v>
                  </c:pt>
                  <c:pt idx="1">
                    <c:v>0.27064988277112456</c:v>
                  </c:pt>
                  <c:pt idx="2">
                    <c:v>9.5797915691049715E-2</c:v>
                  </c:pt>
                  <c:pt idx="3">
                    <c:v>0.2159150999701675</c:v>
                  </c:pt>
                  <c:pt idx="4">
                    <c:v>0.19431919760966718</c:v>
                  </c:pt>
                  <c:pt idx="5">
                    <c:v>7.7596238065056805E-2</c:v>
                  </c:pt>
                  <c:pt idx="6">
                    <c:v>0</c:v>
                  </c:pt>
                  <c:pt idx="7">
                    <c:v>0.10891080542974139</c:v>
                  </c:pt>
                </c:numCache>
              </c:numRef>
            </c:plus>
            <c:minus>
              <c:numRef>
                <c:f>recirculation!$J$326:$J$333</c:f>
                <c:numCache>
                  <c:formatCode>General</c:formatCode>
                  <c:ptCount val="8"/>
                  <c:pt idx="0">
                    <c:v>0.86043777220240403</c:v>
                  </c:pt>
                  <c:pt idx="1">
                    <c:v>0.27064988277112456</c:v>
                  </c:pt>
                  <c:pt idx="2">
                    <c:v>9.5797915691049715E-2</c:v>
                  </c:pt>
                  <c:pt idx="3">
                    <c:v>0.2159150999701675</c:v>
                  </c:pt>
                  <c:pt idx="4">
                    <c:v>0.19431919760966718</c:v>
                  </c:pt>
                  <c:pt idx="5">
                    <c:v>7.7596238065056805E-2</c:v>
                  </c:pt>
                  <c:pt idx="6">
                    <c:v>0</c:v>
                  </c:pt>
                  <c:pt idx="7">
                    <c:v>0.10891080542974139</c:v>
                  </c:pt>
                </c:numCache>
              </c:numRef>
            </c:minus>
            <c:spPr>
              <a:ln>
                <a:solidFill>
                  <a:srgbClr val="FF0000"/>
                </a:solidFill>
              </a:ln>
            </c:spPr>
          </c:errBars>
          <c:xVal>
            <c:numRef>
              <c:f>recirculation!$F$316:$F$323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</c:numCache>
            </c:numRef>
          </c:xVal>
          <c:yVal>
            <c:numRef>
              <c:f>recirculation!$J$316:$J$323</c:f>
              <c:numCache>
                <c:formatCode>General</c:formatCode>
                <c:ptCount val="8"/>
                <c:pt idx="0">
                  <c:v>18.162837468694921</c:v>
                </c:pt>
                <c:pt idx="1">
                  <c:v>14.547151295834921</c:v>
                </c:pt>
                <c:pt idx="2">
                  <c:v>12.68937778221083</c:v>
                </c:pt>
                <c:pt idx="3">
                  <c:v>8.7637830411161524</c:v>
                </c:pt>
                <c:pt idx="4">
                  <c:v>6.6276642287046723</c:v>
                </c:pt>
                <c:pt idx="5">
                  <c:v>5.0053398170198493</c:v>
                </c:pt>
                <c:pt idx="6">
                  <c:v>4.5</c:v>
                </c:pt>
                <c:pt idx="7">
                  <c:v>3.8012889916842547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8A-4346-A549-10C7F60A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08768"/>
        <c:axId val="119810688"/>
      </c:scatterChart>
      <c:valAx>
        <c:axId val="119808768"/>
        <c:scaling>
          <c:orientation val="minMax"/>
          <c:max val="2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000" b="0"/>
                </a:pPr>
                <a:r>
                  <a:rPr lang="en-GB" sz="1000" b="0"/>
                  <a:t>Operational time</a:t>
                </a:r>
                <a:r>
                  <a:rPr lang="en-GB" sz="1000" b="0" baseline="0"/>
                  <a:t> (hours)</a:t>
                </a:r>
                <a:endParaRPr lang="en-GB" sz="10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9810688"/>
        <c:crosses val="autoZero"/>
        <c:crossBetween val="midCat"/>
        <c:majorUnit val="1"/>
      </c:valAx>
      <c:valAx>
        <c:axId val="1198106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000"/>
                </a:pPr>
                <a:r>
                  <a:rPr lang="en-US" sz="1000" b="0" i="0" baseline="0">
                    <a:effectLst/>
                  </a:rPr>
                  <a:t>Carbon dioxide flux, </a:t>
                </a:r>
                <a:endParaRPr lang="en-GB" sz="1000">
                  <a:effectLst/>
                </a:endParaRPr>
              </a:p>
              <a:p>
                <a:pPr>
                  <a:defRPr lang="en-GB" sz="1000"/>
                </a:pPr>
                <a:r>
                  <a:rPr lang="en-US" sz="1000" b="0" i="0" baseline="0">
                    <a:effectLst/>
                  </a:rPr>
                  <a:t>(J</a:t>
                </a:r>
                <a:r>
                  <a:rPr lang="en-US" sz="1000" b="0" i="0" baseline="-25000">
                    <a:effectLst/>
                  </a:rPr>
                  <a:t>CO2</a:t>
                </a:r>
                <a:r>
                  <a:rPr lang="en-US" sz="1000" b="0" i="0" baseline="0">
                    <a:effectLst/>
                  </a:rPr>
                  <a:t>, </a:t>
                </a:r>
                <a:r>
                  <a:rPr lang="en-US" sz="1000" b="0" i="0" baseline="30000">
                    <a:effectLst/>
                  </a:rPr>
                  <a:t>x</a:t>
                </a:r>
                <a:r>
                  <a:rPr lang="en-US" sz="1000" b="0" i="0" baseline="0">
                    <a:effectLst/>
                  </a:rPr>
                  <a:t>10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molCO</a:t>
                </a:r>
                <a:r>
                  <a:rPr lang="en-US" sz="1000" b="0" i="0" baseline="-25000">
                    <a:effectLst/>
                  </a:rPr>
                  <a:t>2 </a:t>
                </a:r>
                <a:r>
                  <a:rPr lang="en-US" sz="1000" b="0" i="0" baseline="0">
                    <a:effectLst/>
                  </a:rPr>
                  <a:t> m</a:t>
                </a:r>
                <a:r>
                  <a:rPr lang="en-US" sz="1000" b="0" i="0" baseline="30000">
                    <a:effectLst/>
                  </a:rPr>
                  <a:t>-2 </a:t>
                </a:r>
                <a:r>
                  <a:rPr lang="en-US" sz="1000" b="0" i="0" baseline="0">
                    <a:effectLst/>
                  </a:rPr>
                  <a:t>s</a:t>
                </a:r>
                <a:r>
                  <a:rPr lang="en-US" sz="1000" b="0" i="0" baseline="30000">
                    <a:effectLst/>
                  </a:rPr>
                  <a:t>-1</a:t>
                </a:r>
                <a:r>
                  <a:rPr lang="en-US" sz="1000" b="0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2.0554863751374403E-2"/>
              <c:y val="0.28837462241172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9808768"/>
        <c:crosses val="autoZero"/>
        <c:crossBetween val="midCat"/>
        <c:majorUnit val="4"/>
        <c:minorUnit val="4.0000000000000015E-2"/>
      </c:valAx>
    </c:plotArea>
    <c:legend>
      <c:legendPos val="r"/>
      <c:layout>
        <c:manualLayout>
          <c:xMode val="edge"/>
          <c:yMode val="edge"/>
          <c:x val="0.94823642120196494"/>
          <c:y val="0.30665296711141976"/>
          <c:w val="2.6907101403372283E-2"/>
          <c:h val="0.35819030804704155"/>
        </c:manualLayout>
      </c:layout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15588309693793E-2"/>
          <c:y val="2.4374357157056794E-2"/>
          <c:w val="0.85680456459078602"/>
          <c:h val="0.87407417651278774"/>
        </c:manualLayout>
      </c:layout>
      <c:barChart>
        <c:barDir val="col"/>
        <c:grouping val="clustered"/>
        <c:varyColors val="0"/>
        <c:ser>
          <c:idx val="0"/>
          <c:order val="0"/>
          <c:tx>
            <c:v>0</c:v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recirculation!$CB$277:$CD$277</c:f>
                <c:numCache>
                  <c:formatCode>General</c:formatCode>
                  <c:ptCount val="3"/>
                  <c:pt idx="0">
                    <c:v>9.4469838431098833E-5</c:v>
                  </c:pt>
                </c:numCache>
              </c:numRef>
            </c:plus>
            <c:minus>
              <c:numRef>
                <c:f>recirculation!$CB$277:$CD$277</c:f>
                <c:numCache>
                  <c:formatCode>General</c:formatCode>
                  <c:ptCount val="3"/>
                  <c:pt idx="0">
                    <c:v>9.4469838431098833E-5</c:v>
                  </c:pt>
                </c:numCache>
              </c:numRef>
            </c:minus>
          </c:errBars>
          <c:cat>
            <c:numRef>
              <c:f>recirculation!$BD$254:$BD$256</c:f>
              <c:numCache>
                <c:formatCode>General</c:formatCode>
                <c:ptCount val="3"/>
                <c:pt idx="0">
                  <c:v>0.6</c:v>
                </c:pt>
                <c:pt idx="1">
                  <c:v>2.2999999999999998</c:v>
                </c:pt>
                <c:pt idx="2">
                  <c:v>3</c:v>
                </c:pt>
              </c:numCache>
            </c:numRef>
          </c:cat>
          <c:val>
            <c:numRef>
              <c:f>recirculation!$BE$254:$BE$256</c:f>
              <c:numCache>
                <c:formatCode>General</c:formatCode>
                <c:ptCount val="3"/>
                <c:pt idx="0">
                  <c:v>1.1861525827758089E-3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0-4915-AEB3-24FAE8D1D335}"/>
            </c:ext>
          </c:extLst>
        </c:ser>
        <c:ser>
          <c:idx val="1"/>
          <c:order val="1"/>
          <c:tx>
            <c:v>1</c:v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recirculation!$CB$278:$CD$278</c:f>
                <c:numCache>
                  <c:formatCode>General</c:formatCode>
                  <c:ptCount val="3"/>
                  <c:pt idx="0">
                    <c:v>4.182375494874575E-4</c:v>
                  </c:pt>
                </c:numCache>
              </c:numRef>
            </c:plus>
            <c:minus>
              <c:numRef>
                <c:f>recirculation!$CB$278:$CD$278</c:f>
                <c:numCache>
                  <c:formatCode>General</c:formatCode>
                  <c:ptCount val="3"/>
                  <c:pt idx="0">
                    <c:v>4.182375494874575E-4</c:v>
                  </c:pt>
                </c:numCache>
              </c:numRef>
            </c:minus>
          </c:errBars>
          <c:val>
            <c:numRef>
              <c:f>recirculation!$BF$254:$BF$256</c:f>
              <c:numCache>
                <c:formatCode>General</c:formatCode>
                <c:ptCount val="3"/>
                <c:pt idx="0">
                  <c:v>1.1604397817212623E-2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915-AEB3-24FAE8D1D335}"/>
            </c:ext>
          </c:extLst>
        </c:ser>
        <c:ser>
          <c:idx val="2"/>
          <c:order val="2"/>
          <c:tx>
            <c:v>2</c:v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recirculation!$CB$279:$CD$279</c:f>
                <c:numCache>
                  <c:formatCode>General</c:formatCode>
                  <c:ptCount val="3"/>
                  <c:pt idx="0">
                    <c:v>3.0407360958551108E-3</c:v>
                  </c:pt>
                </c:numCache>
              </c:numRef>
            </c:plus>
            <c:minus>
              <c:numRef>
                <c:f>recirculation!$CB$279:$CD$279</c:f>
                <c:numCache>
                  <c:formatCode>General</c:formatCode>
                  <c:ptCount val="3"/>
                  <c:pt idx="0">
                    <c:v>3.0407360958551108E-3</c:v>
                  </c:pt>
                </c:numCache>
              </c:numRef>
            </c:minus>
          </c:errBars>
          <c:val>
            <c:numRef>
              <c:f>recirculation!$BG$254:$BG$256</c:f>
              <c:numCache>
                <c:formatCode>General</c:formatCode>
                <c:ptCount val="3"/>
                <c:pt idx="0">
                  <c:v>3.1074082835329024E-2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80-4915-AEB3-24FAE8D1D335}"/>
            </c:ext>
          </c:extLst>
        </c:ser>
        <c:ser>
          <c:idx val="3"/>
          <c:order val="3"/>
          <c:tx>
            <c:v>3</c:v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recirculation!$CB$280:$CD$280</c:f>
                <c:numCache>
                  <c:formatCode>General</c:formatCode>
                  <c:ptCount val="3"/>
                  <c:pt idx="0">
                    <c:v>4.9508168733146812E-3</c:v>
                  </c:pt>
                </c:numCache>
              </c:numRef>
            </c:plus>
            <c:minus>
              <c:numRef>
                <c:f>recirculation!$CB$280:$CD$280</c:f>
                <c:numCache>
                  <c:formatCode>General</c:formatCode>
                  <c:ptCount val="3"/>
                  <c:pt idx="0">
                    <c:v>4.9508168733146812E-3</c:v>
                  </c:pt>
                </c:numCache>
              </c:numRef>
            </c:minus>
          </c:errBars>
          <c:val>
            <c:numRef>
              <c:f>recirculation!$BH$254:$BH$256</c:f>
              <c:numCache>
                <c:formatCode>General</c:formatCode>
                <c:ptCount val="3"/>
                <c:pt idx="0">
                  <c:v>2.9641630712028896E-2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80-4915-AEB3-24FAE8D1D335}"/>
            </c:ext>
          </c:extLst>
        </c:ser>
        <c:ser>
          <c:idx val="4"/>
          <c:order val="4"/>
          <c:tx>
            <c:v>5</c:v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recirculation!$CB$281:$CD$281</c:f>
                <c:numCache>
                  <c:formatCode>General</c:formatCode>
                  <c:ptCount val="3"/>
                  <c:pt idx="0">
                    <c:v>5.050385263226125E-3</c:v>
                  </c:pt>
                  <c:pt idx="1">
                    <c:v>3.3508148820936496E-4</c:v>
                  </c:pt>
                </c:numCache>
              </c:numRef>
            </c:plus>
            <c:minus>
              <c:numRef>
                <c:f>recirculation!$CB$281:$CD$281</c:f>
                <c:numCache>
                  <c:formatCode>General</c:formatCode>
                  <c:ptCount val="3"/>
                  <c:pt idx="0">
                    <c:v>5.050385263226125E-3</c:v>
                  </c:pt>
                  <c:pt idx="1">
                    <c:v>3.3508148820936496E-4</c:v>
                  </c:pt>
                </c:numCache>
              </c:numRef>
            </c:minus>
          </c:errBars>
          <c:val>
            <c:numRef>
              <c:f>recirculation!$BI$254:$BI$256</c:f>
              <c:numCache>
                <c:formatCode>General</c:formatCode>
                <c:ptCount val="3"/>
                <c:pt idx="0">
                  <c:v>5.0543767853445422E-2</c:v>
                </c:pt>
                <c:pt idx="1">
                  <c:v>4.4336140652025041E-2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80-4915-AEB3-24FAE8D1D335}"/>
            </c:ext>
          </c:extLst>
        </c:ser>
        <c:ser>
          <c:idx val="5"/>
          <c:order val="5"/>
          <c:tx>
            <c:v>7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recirculation!$CB$282:$CD$282</c:f>
                <c:numCache>
                  <c:formatCode>General</c:formatCode>
                  <c:ptCount val="3"/>
                  <c:pt idx="0">
                    <c:v>1.0221887807540532E-2</c:v>
                  </c:pt>
                  <c:pt idx="1">
                    <c:v>1.4327599692354111E-3</c:v>
                  </c:pt>
                </c:numCache>
              </c:numRef>
            </c:plus>
            <c:minus>
              <c:numRef>
                <c:f>recirculation!$CB$282:$CD$282</c:f>
                <c:numCache>
                  <c:formatCode>General</c:formatCode>
                  <c:ptCount val="3"/>
                  <c:pt idx="0">
                    <c:v>1.0221887807540532E-2</c:v>
                  </c:pt>
                  <c:pt idx="1">
                    <c:v>1.4327599692354111E-3</c:v>
                  </c:pt>
                </c:numCache>
              </c:numRef>
            </c:minus>
          </c:errBars>
          <c:val>
            <c:numRef>
              <c:f>recirculation!$BJ$254:$BJ$256</c:f>
              <c:numCache>
                <c:formatCode>General</c:formatCode>
                <c:ptCount val="3"/>
                <c:pt idx="0">
                  <c:v>6.7247974071927966E-2</c:v>
                </c:pt>
                <c:pt idx="1">
                  <c:v>7.9433679480980068E-2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80-4915-AEB3-24FAE8D1D335}"/>
            </c:ext>
          </c:extLst>
        </c:ser>
        <c:ser>
          <c:idx val="6"/>
          <c:order val="6"/>
          <c:tx>
            <c:v>10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recirculation!$CB$283:$CD$283</c:f>
                <c:numCache>
                  <c:formatCode>General</c:formatCode>
                  <c:ptCount val="3"/>
                  <c:pt idx="0">
                    <c:v>1.0221887807540532E-2</c:v>
                  </c:pt>
                  <c:pt idx="1">
                    <c:v>1.0976784810260462E-3</c:v>
                  </c:pt>
                </c:numCache>
              </c:numRef>
            </c:plus>
            <c:minus>
              <c:numRef>
                <c:f>recirculation!$CB$283:$CD$283</c:f>
                <c:numCache>
                  <c:formatCode>General</c:formatCode>
                  <c:ptCount val="3"/>
                  <c:pt idx="0">
                    <c:v>1.0221887807540532E-2</c:v>
                  </c:pt>
                  <c:pt idx="1">
                    <c:v>1.0976784810260462E-3</c:v>
                  </c:pt>
                </c:numCache>
              </c:numRef>
            </c:minus>
          </c:errBars>
          <c:val>
            <c:numRef>
              <c:f>recirculation!$BK$254:$BK$256</c:f>
              <c:numCache>
                <c:formatCode>General</c:formatCode>
                <c:ptCount val="3"/>
                <c:pt idx="0">
                  <c:v>0.12135577442564953</c:v>
                </c:pt>
                <c:pt idx="1">
                  <c:v>0.11453121830993508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80-4915-AEB3-24FAE8D1D335}"/>
            </c:ext>
          </c:extLst>
        </c:ser>
        <c:ser>
          <c:idx val="7"/>
          <c:order val="7"/>
          <c:tx>
            <c:v>15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recirculation!$CB$284:$CD$284</c:f>
                <c:numCache>
                  <c:formatCode>General</c:formatCode>
                  <c:ptCount val="3"/>
                  <c:pt idx="0">
                    <c:v>1.4375176610998212E-2</c:v>
                  </c:pt>
                  <c:pt idx="1">
                    <c:v>1.1305485527158066E-3</c:v>
                  </c:pt>
                  <c:pt idx="2">
                    <c:v>1.2104249205259544E-3</c:v>
                  </c:pt>
                </c:numCache>
              </c:numRef>
            </c:plus>
            <c:minus>
              <c:numRef>
                <c:f>recirculation!$CB$284:$CD$284</c:f>
                <c:numCache>
                  <c:formatCode>General</c:formatCode>
                  <c:ptCount val="3"/>
                  <c:pt idx="0">
                    <c:v>1.4375176610998212E-2</c:v>
                  </c:pt>
                  <c:pt idx="1">
                    <c:v>1.1305485527158066E-3</c:v>
                  </c:pt>
                  <c:pt idx="2">
                    <c:v>1.2104249205259544E-3</c:v>
                  </c:pt>
                </c:numCache>
              </c:numRef>
            </c:minus>
          </c:errBars>
          <c:val>
            <c:numRef>
              <c:f>recirculation!$BL$254:$BL$256</c:f>
              <c:numCache>
                <c:formatCode>General</c:formatCode>
                <c:ptCount val="3"/>
                <c:pt idx="0">
                  <c:v>0.14495987258584012</c:v>
                </c:pt>
                <c:pt idx="1">
                  <c:v>0.18857742465372748</c:v>
                </c:pt>
                <c:pt idx="2">
                  <c:v>0.15050497843269897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80-4915-AEB3-24FAE8D1D335}"/>
            </c:ext>
          </c:extLst>
        </c:ser>
        <c:ser>
          <c:idx val="8"/>
          <c:order val="8"/>
          <c:tx>
            <c:v>26</c:v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recirculation!$CB$285:$CD$285</c:f>
                <c:numCache>
                  <c:formatCode>General</c:formatCode>
                  <c:ptCount val="3"/>
                  <c:pt idx="0">
                    <c:v>3.2800733527801593E-2</c:v>
                  </c:pt>
                  <c:pt idx="1">
                    <c:v>1.6966837934643054E-3</c:v>
                  </c:pt>
                  <c:pt idx="2">
                    <c:v>1.550932618274042E-2</c:v>
                  </c:pt>
                </c:numCache>
              </c:numRef>
            </c:plus>
            <c:minus>
              <c:numRef>
                <c:f>recirculation!$CB$285:$CD$285</c:f>
                <c:numCache>
                  <c:formatCode>General</c:formatCode>
                  <c:ptCount val="3"/>
                  <c:pt idx="0">
                    <c:v>3.2800733527801593E-2</c:v>
                  </c:pt>
                  <c:pt idx="1">
                    <c:v>1.6966837934643054E-3</c:v>
                  </c:pt>
                  <c:pt idx="2">
                    <c:v>1.550932618274042E-2</c:v>
                  </c:pt>
                </c:numCache>
              </c:numRef>
            </c:minus>
          </c:errBars>
          <c:val>
            <c:numRef>
              <c:f>recirculation!$BM$254:$BM$256</c:f>
              <c:numCache>
                <c:formatCode>General</c:formatCode>
                <c:ptCount val="3"/>
                <c:pt idx="0">
                  <c:v>0.26190621462878588</c:v>
                </c:pt>
                <c:pt idx="1">
                  <c:v>0.24544939612364816</c:v>
                </c:pt>
                <c:pt idx="2">
                  <c:v>0.24872356586893221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80-4915-AEB3-24FAE8D1D335}"/>
            </c:ext>
          </c:extLst>
        </c:ser>
        <c:ser>
          <c:idx val="9"/>
          <c:order val="9"/>
          <c:tx>
            <c:v>36</c:v>
          </c:tx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D80-4915-AEB3-24FAE8D1D335}"/>
              </c:ext>
            </c:extLst>
          </c:dPt>
          <c:errBars>
            <c:errBarType val="both"/>
            <c:errValType val="cust"/>
            <c:noEndCap val="0"/>
            <c:plus>
              <c:numRef>
                <c:f>recirculation!$CB$286:$CD$286</c:f>
                <c:numCache>
                  <c:formatCode>General</c:formatCode>
                  <c:ptCount val="3"/>
                  <c:pt idx="1">
                    <c:v>6.6995787285252005E-3</c:v>
                  </c:pt>
                  <c:pt idx="2">
                    <c:v>1.6425812036089095E-2</c:v>
                  </c:pt>
                </c:numCache>
              </c:numRef>
            </c:plus>
            <c:minus>
              <c:numRef>
                <c:f>recirculation!$CB$286:$CD$286</c:f>
                <c:numCache>
                  <c:formatCode>General</c:formatCode>
                  <c:ptCount val="3"/>
                  <c:pt idx="1">
                    <c:v>6.6995787285252005E-3</c:v>
                  </c:pt>
                  <c:pt idx="2">
                    <c:v>1.6425812036089095E-2</c:v>
                  </c:pt>
                </c:numCache>
              </c:numRef>
            </c:minus>
          </c:errBars>
          <c:val>
            <c:numRef>
              <c:f>recirculation!$BN$254:$BN$256</c:f>
              <c:numCache>
                <c:formatCode>General</c:formatCode>
                <c:ptCount val="3"/>
                <c:pt idx="1">
                  <c:v>0.38462648206518102</c:v>
                </c:pt>
                <c:pt idx="2">
                  <c:v>0.37909845302103706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80-4915-AEB3-24FAE8D1D335}"/>
            </c:ext>
          </c:extLst>
        </c:ser>
        <c:ser>
          <c:idx val="10"/>
          <c:order val="10"/>
          <c:tx>
            <c:v>47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recirculation!$CB$287:$CD$287</c:f>
                <c:numCache>
                  <c:formatCode>General</c:formatCode>
                  <c:ptCount val="3"/>
                  <c:pt idx="1">
                    <c:v>2.4360197048588848E-2</c:v>
                  </c:pt>
                  <c:pt idx="2">
                    <c:v>1.6738316421828867E-2</c:v>
                  </c:pt>
                </c:numCache>
              </c:numRef>
            </c:plus>
            <c:minus>
              <c:numRef>
                <c:f>recirculation!$CB$287:$CD$287</c:f>
                <c:numCache>
                  <c:formatCode>General</c:formatCode>
                  <c:ptCount val="3"/>
                  <c:pt idx="1">
                    <c:v>2.4360197048588848E-2</c:v>
                  </c:pt>
                  <c:pt idx="2">
                    <c:v>1.6738316421828867E-2</c:v>
                  </c:pt>
                </c:numCache>
              </c:numRef>
            </c:minus>
          </c:errBars>
          <c:val>
            <c:numRef>
              <c:f>recirculation!$BO$254:$BO$256</c:f>
              <c:numCache>
                <c:formatCode>General</c:formatCode>
                <c:ptCount val="3"/>
                <c:pt idx="1">
                  <c:v>0.47048879220257939</c:v>
                </c:pt>
                <c:pt idx="2">
                  <c:v>0.46430303498033215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80-4915-AEB3-24FAE8D1D335}"/>
            </c:ext>
          </c:extLst>
        </c:ser>
        <c:ser>
          <c:idx val="11"/>
          <c:order val="11"/>
          <c:tx>
            <c:v>57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recirculation!$CB$288:$CD$288</c:f>
                <c:numCache>
                  <c:formatCode>General</c:formatCode>
                  <c:ptCount val="3"/>
                  <c:pt idx="1">
                    <c:v>2.0210061822894438E-2</c:v>
                  </c:pt>
                  <c:pt idx="2">
                    <c:v>1.8563897305213989E-2</c:v>
                  </c:pt>
                </c:numCache>
              </c:numRef>
            </c:plus>
            <c:minus>
              <c:numRef>
                <c:f>recirculation!$CB$288:$CD$288</c:f>
                <c:numCache>
                  <c:formatCode>General</c:formatCode>
                  <c:ptCount val="3"/>
                  <c:pt idx="1">
                    <c:v>2.0210061822894438E-2</c:v>
                  </c:pt>
                  <c:pt idx="2">
                    <c:v>1.8563897305213989E-2</c:v>
                  </c:pt>
                </c:numCache>
              </c:numRef>
            </c:minus>
          </c:errBars>
          <c:val>
            <c:numRef>
              <c:f>recirculation!$BP$254:$BP$256</c:f>
              <c:numCache>
                <c:formatCode>General</c:formatCode>
                <c:ptCount val="3"/>
                <c:pt idx="1">
                  <c:v>0.55000000000000004</c:v>
                </c:pt>
                <c:pt idx="2">
                  <c:v>0.54950761693962724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80-4915-AEB3-24FAE8D1D335}"/>
            </c:ext>
          </c:extLst>
        </c:ser>
        <c:ser>
          <c:idx val="12"/>
          <c:order val="12"/>
          <c:tx>
            <c:v>66</c:v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recirculation!$CB$289:$CD$289</c:f>
                <c:numCache>
                  <c:formatCode>General</c:formatCode>
                  <c:ptCount val="3"/>
                  <c:pt idx="1">
                    <c:v>4.6412058929570406E-2</c:v>
                  </c:pt>
                </c:numCache>
              </c:numRef>
            </c:plus>
            <c:minus>
              <c:numRef>
                <c:f>recirculation!$CB$289:$CD$289</c:f>
                <c:numCache>
                  <c:formatCode>General</c:formatCode>
                  <c:ptCount val="3"/>
                  <c:pt idx="1">
                    <c:v>4.6412058929570406E-2</c:v>
                  </c:pt>
                </c:numCache>
              </c:numRef>
            </c:minus>
          </c:errBars>
          <c:val>
            <c:numRef>
              <c:f>recirculation!$BQ$254:$BQ$256</c:f>
              <c:numCache>
                <c:formatCode>General</c:formatCode>
                <c:ptCount val="3"/>
                <c:pt idx="1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80-4915-AEB3-24FAE8D1D335}"/>
            </c:ext>
          </c:extLst>
        </c:ser>
        <c:ser>
          <c:idx val="13"/>
          <c:order val="13"/>
          <c:tx>
            <c:v>75</c:v>
          </c:tx>
          <c:spPr>
            <a:solidFill>
              <a:schemeClr val="accent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recirculation!$CB$290:$CD$290</c:f>
                <c:numCache>
                  <c:formatCode>General</c:formatCode>
                  <c:ptCount val="3"/>
                  <c:pt idx="1">
                    <c:v>3.7074059484304998E-2</c:v>
                  </c:pt>
                </c:numCache>
              </c:numRef>
            </c:plus>
            <c:minus>
              <c:numRef>
                <c:f>recirculation!$CB$290:$CD$290</c:f>
                <c:numCache>
                  <c:formatCode>General</c:formatCode>
                  <c:ptCount val="3"/>
                  <c:pt idx="1">
                    <c:v>3.7074059484304998E-2</c:v>
                  </c:pt>
                </c:numCache>
              </c:numRef>
            </c:minus>
          </c:errBars>
          <c:val>
            <c:numRef>
              <c:f>recirculation!$BR$254:$BR$256</c:f>
              <c:numCache>
                <c:formatCode>General</c:formatCode>
                <c:ptCount val="3"/>
                <c:pt idx="1">
                  <c:v>0.72775609434531774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D80-4915-AEB3-24FAE8D1D335}"/>
            </c:ext>
          </c:extLst>
        </c:ser>
        <c:ser>
          <c:idx val="14"/>
          <c:order val="14"/>
          <c:tx>
            <c:v>84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recirculation!$CB$291:$CD$291</c:f>
                <c:numCache>
                  <c:formatCode>General</c:formatCode>
                  <c:ptCount val="3"/>
                  <c:pt idx="1">
                    <c:v>3.4040230623875845E-2</c:v>
                  </c:pt>
                </c:numCache>
              </c:numRef>
            </c:plus>
            <c:minus>
              <c:numRef>
                <c:f>recirculation!$CB$291:$CD$291</c:f>
                <c:numCache>
                  <c:formatCode>General</c:formatCode>
                  <c:ptCount val="3"/>
                  <c:pt idx="1">
                    <c:v>3.4040230623875845E-2</c:v>
                  </c:pt>
                </c:numCache>
              </c:numRef>
            </c:minus>
          </c:errBars>
          <c:val>
            <c:numRef>
              <c:f>recirculation!$BS$254:$BS$256</c:f>
              <c:numCache>
                <c:formatCode>General</c:formatCode>
                <c:ptCount val="3"/>
                <c:pt idx="1">
                  <c:v>0.82731809588869187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80-4915-AEB3-24FAE8D1D335}"/>
            </c:ext>
          </c:extLst>
        </c:ser>
        <c:ser>
          <c:idx val="15"/>
          <c:order val="15"/>
          <c:tx>
            <c:v>94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recirculation!$CB$292:$CD$292</c:f>
                <c:numCache>
                  <c:formatCode>General</c:formatCode>
                  <c:ptCount val="3"/>
                  <c:pt idx="1">
                    <c:v>3.347386996660548E-2</c:v>
                  </c:pt>
                </c:numCache>
              </c:numRef>
            </c:plus>
            <c:minus>
              <c:numRef>
                <c:f>recirculation!$CB$292:$CD$292</c:f>
                <c:numCache>
                  <c:formatCode>General</c:formatCode>
                  <c:ptCount val="3"/>
                  <c:pt idx="1">
                    <c:v>3.347386996660548E-2</c:v>
                  </c:pt>
                </c:numCache>
              </c:numRef>
            </c:minus>
          </c:errBars>
          <c:val>
            <c:numRef>
              <c:f>recirculation!$BT$254:$BT$256</c:f>
              <c:numCache>
                <c:formatCode>General</c:formatCode>
                <c:ptCount val="3"/>
                <c:pt idx="1">
                  <c:v>0.88948727308742004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80-4915-AEB3-24FAE8D1D335}"/>
            </c:ext>
          </c:extLst>
        </c:ser>
        <c:ser>
          <c:idx val="16"/>
          <c:order val="16"/>
          <c:tx>
            <c:v>104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recirculation!$CB$293:$CD$293</c:f>
                <c:numCache>
                  <c:formatCode>General</c:formatCode>
                  <c:ptCount val="3"/>
                  <c:pt idx="1">
                    <c:v>4.4209329717069222E-2</c:v>
                  </c:pt>
                </c:numCache>
              </c:numRef>
            </c:plus>
            <c:minus>
              <c:numRef>
                <c:f>recirculation!$CB$293:$CD$293</c:f>
                <c:numCache>
                  <c:formatCode>General</c:formatCode>
                  <c:ptCount val="3"/>
                  <c:pt idx="1">
                    <c:v>4.4209329717069222E-2</c:v>
                  </c:pt>
                </c:numCache>
              </c:numRef>
            </c:minus>
          </c:errBars>
          <c:val>
            <c:numRef>
              <c:f>recirculation!$BU$254:$BU$256</c:f>
              <c:numCache>
                <c:formatCode>General</c:formatCode>
                <c:ptCount val="3"/>
                <c:pt idx="1">
                  <c:v>1.0308194229397498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80-4915-AEB3-24FAE8D1D335}"/>
            </c:ext>
          </c:extLst>
        </c:ser>
        <c:ser>
          <c:idx val="17"/>
          <c:order val="17"/>
          <c:tx>
            <c:v>113</c:v>
          </c:tx>
          <c:spPr>
            <a:solidFill>
              <a:schemeClr val="accent2">
                <a:lumMod val="50000"/>
              </a:schemeClr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recirculation!$CB$294:$CD$294</c:f>
                <c:numCache>
                  <c:formatCode>General</c:formatCode>
                  <c:ptCount val="3"/>
                  <c:pt idx="1">
                    <c:v>4.4852558954401822E-2</c:v>
                  </c:pt>
                </c:numCache>
              </c:numRef>
            </c:plus>
            <c:minus>
              <c:numRef>
                <c:f>recirculation!$CB$294:$CD$294</c:f>
                <c:numCache>
                  <c:formatCode>General</c:formatCode>
                  <c:ptCount val="3"/>
                  <c:pt idx="1">
                    <c:v>4.4852558954401822E-2</c:v>
                  </c:pt>
                </c:numCache>
              </c:numRef>
            </c:minus>
          </c:errBars>
          <c:val>
            <c:numRef>
              <c:f>recirculation!$BV$254:$BV$256</c:f>
              <c:numCache>
                <c:formatCode>General</c:formatCode>
                <c:ptCount val="3"/>
                <c:pt idx="1">
                  <c:v>1.1012927304785645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80-4915-AEB3-24FAE8D1D335}"/>
            </c:ext>
          </c:extLst>
        </c:ser>
        <c:ser>
          <c:idx val="18"/>
          <c:order val="18"/>
          <c:tx>
            <c:v>120</c:v>
          </c:tx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3D80-4915-AEB3-24FAE8D1D335}"/>
              </c:ext>
            </c:extLst>
          </c:dPt>
          <c:errBars>
            <c:errBarType val="both"/>
            <c:errValType val="cust"/>
            <c:noEndCap val="0"/>
            <c:plus>
              <c:numRef>
                <c:f>recirculation!$CB$295:$CD$295</c:f>
                <c:numCache>
                  <c:formatCode>General</c:formatCode>
                  <c:ptCount val="3"/>
                  <c:pt idx="1">
                    <c:v>3.6072976792198654E-2</c:v>
                  </c:pt>
                </c:numCache>
              </c:numRef>
            </c:plus>
            <c:minus>
              <c:numRef>
                <c:f>recirculation!$CB$295:$CD$295</c:f>
                <c:numCache>
                  <c:formatCode>General</c:formatCode>
                  <c:ptCount val="3"/>
                  <c:pt idx="1">
                    <c:v>3.6072976792198654E-2</c:v>
                  </c:pt>
                </c:numCache>
              </c:numRef>
            </c:minus>
          </c:errBars>
          <c:val>
            <c:numRef>
              <c:f>recirculation!$BW$254:$BW$256</c:f>
              <c:numCache>
                <c:formatCode>General</c:formatCode>
                <c:ptCount val="3"/>
                <c:pt idx="1">
                  <c:v>1.1337426002167175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80-4915-AEB3-24FAE8D1D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236928"/>
        <c:axId val="126255488"/>
      </c:barChart>
      <c:catAx>
        <c:axId val="12623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0" i="0" baseline="0">
                    <a:effectLst/>
                  </a:rPr>
                  <a:t>[NH</a:t>
                </a:r>
                <a:r>
                  <a:rPr lang="en-US" sz="1000" b="0" i="0" baseline="-25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] (mol L</a:t>
                </a:r>
                <a:r>
                  <a:rPr lang="en-US" sz="1000" b="0" i="0" baseline="30000">
                    <a:effectLst/>
                  </a:rPr>
                  <a:t>-1</a:t>
                </a:r>
                <a:r>
                  <a:rPr lang="en-US" sz="1000" b="0" i="0" baseline="0">
                    <a:effectLst/>
                  </a:rPr>
                  <a:t>)</a:t>
                </a:r>
                <a:endParaRPr lang="en-GB" sz="1000" b="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6255488"/>
        <c:crossesAt val="1.0000000000000002E-3"/>
        <c:auto val="1"/>
        <c:lblAlgn val="ctr"/>
        <c:lblOffset val="100"/>
        <c:noMultiLvlLbl val="0"/>
      </c:catAx>
      <c:valAx>
        <c:axId val="126255488"/>
        <c:scaling>
          <c:logBase val="10"/>
          <c:orientation val="minMax"/>
          <c:max val="1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0"/>
                  <a:t>Supersaturation</a:t>
                </a:r>
                <a:r>
                  <a:rPr lang="en-GB" b="0" baseline="0"/>
                  <a:t> ratio</a:t>
                </a:r>
                <a:r>
                  <a:rPr lang="en-GB" b="0"/>
                  <a:t>,</a:t>
                </a:r>
                <a:r>
                  <a:rPr lang="en-GB" b="0" baseline="0"/>
                  <a:t> C/C* (mol mol</a:t>
                </a:r>
                <a:r>
                  <a:rPr lang="en-GB" b="0" baseline="30000"/>
                  <a:t>-1</a:t>
                </a:r>
                <a:r>
                  <a:rPr lang="en-GB" b="0" baseline="0"/>
                  <a:t>)</a:t>
                </a:r>
                <a:endParaRPr lang="en-GB" b="0"/>
              </a:p>
            </c:rich>
          </c:tx>
          <c:layout>
            <c:manualLayout>
              <c:xMode val="edge"/>
              <c:yMode val="edge"/>
              <c:x val="1.6352198018680132E-2"/>
              <c:y val="0.2476956187282297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236928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86767991528154997"/>
          <c:y val="0.12285901968071773"/>
          <c:w val="0.10842071838345597"/>
          <c:h val="0.5742598338764185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62112564876116"/>
          <c:y val="0.11244312024956349"/>
          <c:w val="0.77032899493984686"/>
          <c:h val="0.72553698428313795"/>
        </c:manualLayout>
      </c:layout>
      <c:barChart>
        <c:barDir val="col"/>
        <c:grouping val="clustered"/>
        <c:varyColors val="0"/>
        <c:ser>
          <c:idx val="0"/>
          <c:order val="0"/>
          <c:tx>
            <c:v>0</c:v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recirculation!$AO$323:$AQ$323</c:f>
                <c:numCache>
                  <c:formatCode>General</c:formatCode>
                  <c:ptCount val="3"/>
                  <c:pt idx="0">
                    <c:v>0.86043777220240403</c:v>
                  </c:pt>
                  <c:pt idx="1">
                    <c:v>0.32412014510454656</c:v>
                  </c:pt>
                  <c:pt idx="2">
                    <c:v>0.67322027906615434</c:v>
                  </c:pt>
                </c:numCache>
              </c:numRef>
            </c:plus>
            <c:minus>
              <c:numRef>
                <c:f>recirculation!$AO$323:$AQ$323</c:f>
                <c:numCache>
                  <c:formatCode>General</c:formatCode>
                  <c:ptCount val="3"/>
                  <c:pt idx="0">
                    <c:v>0.86043777220240403</c:v>
                  </c:pt>
                  <c:pt idx="1">
                    <c:v>0.32412014510454656</c:v>
                  </c:pt>
                  <c:pt idx="2">
                    <c:v>0.67322027906615434</c:v>
                  </c:pt>
                </c:numCache>
              </c:numRef>
            </c:minus>
          </c:errBars>
          <c:cat>
            <c:numRef>
              <c:f>recirculation!$AI$323:$AK$323</c:f>
              <c:numCache>
                <c:formatCode>General</c:formatCode>
                <c:ptCount val="3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</c:numCache>
            </c:numRef>
          </c:cat>
          <c:val>
            <c:numRef>
              <c:f>recirculation!$AI$324:$AK$324</c:f>
              <c:numCache>
                <c:formatCode>General</c:formatCode>
                <c:ptCount val="3"/>
                <c:pt idx="0">
                  <c:v>18.162837468694921</c:v>
                </c:pt>
                <c:pt idx="1">
                  <c:v>17.426447563790319</c:v>
                </c:pt>
                <c:pt idx="2">
                  <c:v>16.293563853584732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2-439E-901E-3943C9817976}"/>
            </c:ext>
          </c:extLst>
        </c:ser>
        <c:ser>
          <c:idx val="1"/>
          <c:order val="1"/>
          <c:tx>
            <c:v>0.2</c:v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recirculation!$AO$324:$AQ$324</c:f>
                <c:numCache>
                  <c:formatCode>General</c:formatCode>
                  <c:ptCount val="3"/>
                  <c:pt idx="0">
                    <c:v>0.27064988277112456</c:v>
                  </c:pt>
                  <c:pt idx="1">
                    <c:v>0.37763741689862274</c:v>
                  </c:pt>
                  <c:pt idx="2">
                    <c:v>0.51090903943758992</c:v>
                  </c:pt>
                </c:numCache>
              </c:numRef>
            </c:plus>
            <c:minus>
              <c:numRef>
                <c:f>recirculation!$AO$324:$AQ$324</c:f>
                <c:numCache>
                  <c:formatCode>General</c:formatCode>
                  <c:ptCount val="3"/>
                  <c:pt idx="0">
                    <c:v>0.27064988277112456</c:v>
                  </c:pt>
                  <c:pt idx="1">
                    <c:v>0.37763741689862274</c:v>
                  </c:pt>
                  <c:pt idx="2">
                    <c:v>0.51090903943758992</c:v>
                  </c:pt>
                </c:numCache>
              </c:numRef>
            </c:minus>
          </c:errBars>
          <c:val>
            <c:numRef>
              <c:f>recirculation!$AI$325:$AK$325</c:f>
              <c:numCache>
                <c:formatCode>General</c:formatCode>
                <c:ptCount val="3"/>
                <c:pt idx="0">
                  <c:v>14.547151295834921</c:v>
                </c:pt>
                <c:pt idx="1">
                  <c:v>15.515984911619588</c:v>
                </c:pt>
                <c:pt idx="2">
                  <c:v>14.579320823243897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2-439E-901E-3943C9817976}"/>
            </c:ext>
          </c:extLst>
        </c:ser>
        <c:ser>
          <c:idx val="2"/>
          <c:order val="2"/>
          <c:tx>
            <c:v>0.5</c:v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recirculation!$AO$325:$AQ$325</c:f>
                <c:numCache>
                  <c:formatCode>General</c:formatCode>
                  <c:ptCount val="3"/>
                  <c:pt idx="0">
                    <c:v>9.5797915691049715E-2</c:v>
                  </c:pt>
                  <c:pt idx="1">
                    <c:v>0.2629187838227966</c:v>
                  </c:pt>
                  <c:pt idx="2">
                    <c:v>1.532572090249412</c:v>
                  </c:pt>
                </c:numCache>
              </c:numRef>
            </c:plus>
            <c:minus>
              <c:numRef>
                <c:f>recirculation!$AO$325:$AQ$325</c:f>
                <c:numCache>
                  <c:formatCode>General</c:formatCode>
                  <c:ptCount val="3"/>
                  <c:pt idx="0">
                    <c:v>9.5797915691049715E-2</c:v>
                  </c:pt>
                  <c:pt idx="1">
                    <c:v>0.2629187838227966</c:v>
                  </c:pt>
                  <c:pt idx="2">
                    <c:v>1.532572090249412</c:v>
                  </c:pt>
                </c:numCache>
              </c:numRef>
            </c:minus>
          </c:errBars>
          <c:val>
            <c:numRef>
              <c:f>recirculation!$AI$326:$AK$326</c:f>
              <c:numCache>
                <c:formatCode>General</c:formatCode>
                <c:ptCount val="3"/>
                <c:pt idx="0">
                  <c:v>12.68937778221083</c:v>
                </c:pt>
                <c:pt idx="1">
                  <c:v>12.001264633383139</c:v>
                </c:pt>
                <c:pt idx="2">
                  <c:v>10.994354575141212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62-439E-901E-3943C9817976}"/>
            </c:ext>
          </c:extLst>
        </c:ser>
        <c:ser>
          <c:idx val="3"/>
          <c:order val="3"/>
          <c:tx>
            <c:v>1</c:v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recirculation!$AO$326:$AQ$326</c:f>
                <c:numCache>
                  <c:formatCode>General</c:formatCode>
                  <c:ptCount val="3"/>
                  <c:pt idx="0">
                    <c:v>0.2159150999701675</c:v>
                  </c:pt>
                  <c:pt idx="1">
                    <c:v>0.29141567504251997</c:v>
                  </c:pt>
                  <c:pt idx="2">
                    <c:v>0.51935637943014512</c:v>
                  </c:pt>
                </c:numCache>
              </c:numRef>
            </c:plus>
            <c:minus>
              <c:numRef>
                <c:f>recirculation!$AO$326:$AQ$326</c:f>
                <c:numCache>
                  <c:formatCode>General</c:formatCode>
                  <c:ptCount val="3"/>
                  <c:pt idx="0">
                    <c:v>0.2159150999701675</c:v>
                  </c:pt>
                  <c:pt idx="1">
                    <c:v>0.29141567504251997</c:v>
                  </c:pt>
                  <c:pt idx="2">
                    <c:v>0.51935637943014512</c:v>
                  </c:pt>
                </c:numCache>
              </c:numRef>
            </c:minus>
          </c:errBars>
          <c:val>
            <c:numRef>
              <c:f>recirculation!$AI$327:$AK$327</c:f>
              <c:numCache>
                <c:formatCode>General</c:formatCode>
                <c:ptCount val="3"/>
                <c:pt idx="0">
                  <c:v>8.7637830411161524</c:v>
                </c:pt>
                <c:pt idx="1">
                  <c:v>9.3832679475045939</c:v>
                </c:pt>
                <c:pt idx="2">
                  <c:v>8.147637842549555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62-439E-901E-3943C9817976}"/>
            </c:ext>
          </c:extLst>
        </c:ser>
        <c:ser>
          <c:idx val="4"/>
          <c:order val="4"/>
          <c:tx>
            <c:v>1.5</c:v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recirculation!$AO$327:$AQ$327</c:f>
                <c:numCache>
                  <c:formatCode>General</c:formatCode>
                  <c:ptCount val="3"/>
                  <c:pt idx="0">
                    <c:v>0.19431919760966718</c:v>
                  </c:pt>
                  <c:pt idx="1">
                    <c:v>0.16474228259412999</c:v>
                  </c:pt>
                  <c:pt idx="2">
                    <c:v>1.2818729058330089</c:v>
                  </c:pt>
                </c:numCache>
              </c:numRef>
            </c:plus>
            <c:minus>
              <c:numRef>
                <c:f>recirculation!$AO$327:$AQ$327</c:f>
                <c:numCache>
                  <c:formatCode>General</c:formatCode>
                  <c:ptCount val="3"/>
                  <c:pt idx="0">
                    <c:v>0.19431919760966718</c:v>
                  </c:pt>
                  <c:pt idx="1">
                    <c:v>0.16474228259412999</c:v>
                  </c:pt>
                  <c:pt idx="2">
                    <c:v>1.2818729058330089</c:v>
                  </c:pt>
                </c:numCache>
              </c:numRef>
            </c:minus>
          </c:errBars>
          <c:val>
            <c:numRef>
              <c:f>recirculation!$AI$328:$AK$328</c:f>
              <c:numCache>
                <c:formatCode>General</c:formatCode>
                <c:ptCount val="3"/>
                <c:pt idx="0">
                  <c:v>6.6276642287046723</c:v>
                </c:pt>
                <c:pt idx="1">
                  <c:v>6.6058028525170522</c:v>
                </c:pt>
                <c:pt idx="2">
                  <c:v>6.82775075045706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62-439E-901E-3943C9817976}"/>
            </c:ext>
          </c:extLst>
        </c:ser>
        <c:ser>
          <c:idx val="5"/>
          <c:order val="5"/>
          <c:tx>
            <c:v>2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recirculation!$AO$328:$AQ$328</c:f>
                <c:numCache>
                  <c:formatCode>General</c:formatCode>
                  <c:ptCount val="3"/>
                  <c:pt idx="0">
                    <c:v>7.7596238065056805E-2</c:v>
                  </c:pt>
                  <c:pt idx="1">
                    <c:v>0.30075114885783005</c:v>
                  </c:pt>
                  <c:pt idx="2">
                    <c:v>1.3166487742546733</c:v>
                  </c:pt>
                </c:numCache>
              </c:numRef>
            </c:plus>
            <c:minus>
              <c:numRef>
                <c:f>recirculation!$AO$328:$AQ$328</c:f>
                <c:numCache>
                  <c:formatCode>General</c:formatCode>
                  <c:ptCount val="3"/>
                  <c:pt idx="0">
                    <c:v>7.7596238065056805E-2</c:v>
                  </c:pt>
                  <c:pt idx="1">
                    <c:v>0.30075114885783005</c:v>
                  </c:pt>
                  <c:pt idx="2">
                    <c:v>1.3166487742546733</c:v>
                  </c:pt>
                </c:numCache>
              </c:numRef>
            </c:minus>
          </c:errBars>
          <c:val>
            <c:numRef>
              <c:f>recirculation!$AI$329:$AK$329</c:f>
              <c:numCache>
                <c:formatCode>General</c:formatCode>
                <c:ptCount val="3"/>
                <c:pt idx="0">
                  <c:v>5.0053398170198493</c:v>
                </c:pt>
                <c:pt idx="1">
                  <c:v>4.4821025967010915</c:v>
                </c:pt>
                <c:pt idx="2">
                  <c:v>6.5078230332005074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62-439E-901E-3943C9817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376576"/>
        <c:axId val="126386944"/>
      </c:barChart>
      <c:catAx>
        <c:axId val="12637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Gas velocity,</a:t>
                </a:r>
                <a:r>
                  <a:rPr lang="en-GB" b="0" baseline="0"/>
                  <a:t> V</a:t>
                </a:r>
                <a:r>
                  <a:rPr lang="en-GB" b="0" baseline="-25000"/>
                  <a:t>G</a:t>
                </a:r>
                <a:r>
                  <a:rPr lang="en-GB" b="0" baseline="0"/>
                  <a:t> (m s</a:t>
                </a:r>
                <a:r>
                  <a:rPr lang="en-GB" b="0" baseline="30000"/>
                  <a:t>-1</a:t>
                </a:r>
                <a:r>
                  <a:rPr lang="en-GB" b="0" baseline="0"/>
                  <a:t>)</a:t>
                </a:r>
                <a:endParaRPr lang="en-GB" b="0"/>
              </a:p>
            </c:rich>
          </c:tx>
          <c:layout>
            <c:manualLayout>
              <c:xMode val="edge"/>
              <c:yMode val="edge"/>
              <c:x val="0.40215496163451353"/>
              <c:y val="0.9237530316181237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386944"/>
        <c:crosses val="autoZero"/>
        <c:auto val="1"/>
        <c:lblAlgn val="ctr"/>
        <c:lblOffset val="100"/>
        <c:noMultiLvlLbl val="0"/>
      </c:catAx>
      <c:valAx>
        <c:axId val="1263869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0" i="0" baseline="0">
                    <a:effectLst/>
                  </a:rPr>
                  <a:t>Carbon dioxide flux, </a:t>
                </a:r>
                <a:endParaRPr lang="en-GB" sz="1000">
                  <a:effectLst/>
                </a:endParaRPr>
              </a:p>
              <a:p>
                <a:pPr>
                  <a:defRPr sz="1000"/>
                </a:pPr>
                <a:r>
                  <a:rPr lang="en-US" sz="1000" b="0" i="0" baseline="0">
                    <a:effectLst/>
                  </a:rPr>
                  <a:t>(J</a:t>
                </a:r>
                <a:r>
                  <a:rPr lang="en-US" sz="1000" b="0" i="0" baseline="-25000">
                    <a:effectLst/>
                  </a:rPr>
                  <a:t>CO2</a:t>
                </a:r>
                <a:r>
                  <a:rPr lang="en-US" sz="1000" b="0" i="0" baseline="0">
                    <a:effectLst/>
                  </a:rPr>
                  <a:t>, </a:t>
                </a:r>
                <a:r>
                  <a:rPr lang="en-US" sz="1000" b="0" i="0" baseline="30000">
                    <a:effectLst/>
                  </a:rPr>
                  <a:t>x</a:t>
                </a:r>
                <a:r>
                  <a:rPr lang="en-US" sz="1000" b="0" i="0" baseline="0">
                    <a:effectLst/>
                  </a:rPr>
                  <a:t>10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molCO</a:t>
                </a:r>
                <a:r>
                  <a:rPr lang="en-US" sz="1000" b="0" i="0" baseline="-25000">
                    <a:effectLst/>
                  </a:rPr>
                  <a:t>2 </a:t>
                </a:r>
                <a:r>
                  <a:rPr lang="en-US" sz="1000" b="0" i="0" baseline="0">
                    <a:effectLst/>
                  </a:rPr>
                  <a:t> m</a:t>
                </a:r>
                <a:r>
                  <a:rPr lang="en-US" sz="1000" b="0" i="0" baseline="30000">
                    <a:effectLst/>
                  </a:rPr>
                  <a:t>-2 </a:t>
                </a:r>
                <a:r>
                  <a:rPr lang="en-US" sz="1000" b="0" i="0" baseline="0">
                    <a:effectLst/>
                  </a:rPr>
                  <a:t>s</a:t>
                </a:r>
                <a:r>
                  <a:rPr lang="en-US" sz="1000" b="0" i="0" baseline="30000">
                    <a:effectLst/>
                  </a:rPr>
                  <a:t>-1</a:t>
                </a:r>
                <a:r>
                  <a:rPr lang="en-US" sz="1000" b="0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44461765233043E-2"/>
              <c:y val="0.26914535115383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37657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91303782886747475"/>
          <c:y val="0.31348946160820867"/>
          <c:w val="4.5397831580168226E-2"/>
          <c:h val="0.3842411594177033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20474860536499E-2"/>
          <c:y val="2.5881951706431611E-2"/>
          <c:w val="0.85032753414274898"/>
          <c:h val="0.86628545478808394"/>
        </c:manualLayout>
      </c:layout>
      <c:barChart>
        <c:barDir val="col"/>
        <c:grouping val="clustered"/>
        <c:varyColors val="0"/>
        <c:ser>
          <c:idx val="0"/>
          <c:order val="0"/>
          <c:tx>
            <c:v>15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recirculation!$CD$284:$CE$284</c:f>
                <c:numCache>
                  <c:formatCode>General</c:formatCode>
                  <c:ptCount val="2"/>
                  <c:pt idx="0">
                    <c:v>1.2104249205259544E-3</c:v>
                  </c:pt>
                  <c:pt idx="1">
                    <c:v>7.616546038381927E-5</c:v>
                  </c:pt>
                </c:numCache>
              </c:numRef>
            </c:plus>
            <c:minus>
              <c:numRef>
                <c:f>recirculation!$CD$284:$CE$284</c:f>
                <c:numCache>
                  <c:formatCode>General</c:formatCode>
                  <c:ptCount val="2"/>
                  <c:pt idx="0">
                    <c:v>1.2104249205259544E-3</c:v>
                  </c:pt>
                  <c:pt idx="1">
                    <c:v>7.616546038381927E-5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recirculation!$BL$256:$BL$257</c:f>
              <c:numCache>
                <c:formatCode>General</c:formatCode>
                <c:ptCount val="2"/>
                <c:pt idx="0">
                  <c:v>0.15050497843269897</c:v>
                </c:pt>
                <c:pt idx="1">
                  <c:v>0.19629750634941764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A-48D5-B9B6-5356AF7A48A7}"/>
            </c:ext>
          </c:extLst>
        </c:ser>
        <c:ser>
          <c:idx val="1"/>
          <c:order val="1"/>
          <c:tx>
            <c:v>26</c:v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recirculation!$CD$285:$CE$285</c:f>
                <c:numCache>
                  <c:formatCode>General</c:formatCode>
                  <c:ptCount val="2"/>
                  <c:pt idx="0">
                    <c:v>1.550932618274042E-2</c:v>
                  </c:pt>
                  <c:pt idx="1">
                    <c:v>1.3072447849888043E-2</c:v>
                  </c:pt>
                </c:numCache>
              </c:numRef>
            </c:plus>
            <c:minus>
              <c:numRef>
                <c:f>recirculation!$CD$285:$CE$285</c:f>
                <c:numCache>
                  <c:formatCode>General</c:formatCode>
                  <c:ptCount val="2"/>
                  <c:pt idx="0">
                    <c:v>1.550932618274042E-2</c:v>
                  </c:pt>
                  <c:pt idx="1">
                    <c:v>1.3072447849888043E-2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recirculation!$BM$256:$BM$257</c:f>
              <c:numCache>
                <c:formatCode>General</c:formatCode>
                <c:ptCount val="2"/>
                <c:pt idx="0">
                  <c:v>0.24872356586893221</c:v>
                </c:pt>
                <c:pt idx="1">
                  <c:v>0.34470279019005212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A-48D5-B9B6-5356AF7A48A7}"/>
            </c:ext>
          </c:extLst>
        </c:ser>
        <c:ser>
          <c:idx val="2"/>
          <c:order val="2"/>
          <c:tx>
            <c:v>36</c:v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recirculation!$CD$286:$CE$286</c:f>
                <c:numCache>
                  <c:formatCode>General</c:formatCode>
                  <c:ptCount val="2"/>
                  <c:pt idx="0">
                    <c:v>1.6425812036089095E-2</c:v>
                  </c:pt>
                  <c:pt idx="1">
                    <c:v>2.1418167162242176E-2</c:v>
                  </c:pt>
                </c:numCache>
              </c:numRef>
            </c:plus>
            <c:minus>
              <c:numRef>
                <c:f>recirculation!$CD$286:$CE$286</c:f>
                <c:numCache>
                  <c:formatCode>General</c:formatCode>
                  <c:ptCount val="2"/>
                  <c:pt idx="0">
                    <c:v>1.6425812036089095E-2</c:v>
                  </c:pt>
                  <c:pt idx="1">
                    <c:v>2.1418167162242176E-2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recirculation!$BN$256:$BN$257</c:f>
              <c:numCache>
                <c:formatCode>General</c:formatCode>
                <c:ptCount val="2"/>
                <c:pt idx="0">
                  <c:v>0.37909845302103706</c:v>
                </c:pt>
                <c:pt idx="1">
                  <c:v>0.48891076414836093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A-48D5-B9B6-5356AF7A48A7}"/>
            </c:ext>
          </c:extLst>
        </c:ser>
        <c:ser>
          <c:idx val="3"/>
          <c:order val="3"/>
          <c:tx>
            <c:v>47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recirculation!$CD$287:$CE$287</c:f>
                <c:numCache>
                  <c:formatCode>General</c:formatCode>
                  <c:ptCount val="2"/>
                  <c:pt idx="0">
                    <c:v>1.6738316421828867E-2</c:v>
                  </c:pt>
                  <c:pt idx="1">
                    <c:v>2.1933519581832022E-2</c:v>
                  </c:pt>
                </c:numCache>
              </c:numRef>
            </c:plus>
            <c:minus>
              <c:numRef>
                <c:f>recirculation!$CD$287:$CE$287</c:f>
                <c:numCache>
                  <c:formatCode>General</c:formatCode>
                  <c:ptCount val="2"/>
                  <c:pt idx="0">
                    <c:v>1.6738316421828867E-2</c:v>
                  </c:pt>
                  <c:pt idx="1">
                    <c:v>2.1933519581832022E-2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recirculation!$BO$256:$BO$257</c:f>
              <c:numCache>
                <c:formatCode>General</c:formatCode>
                <c:ptCount val="2"/>
                <c:pt idx="0">
                  <c:v>0.46430303498033215</c:v>
                </c:pt>
                <c:pt idx="1">
                  <c:v>0.63221970552846474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A-48D5-B9B6-5356AF7A48A7}"/>
            </c:ext>
          </c:extLst>
        </c:ser>
        <c:ser>
          <c:idx val="4"/>
          <c:order val="4"/>
          <c:tx>
            <c:v>57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recirculation!$CD$288:$CE$288</c:f>
                <c:numCache>
                  <c:formatCode>General</c:formatCode>
                  <c:ptCount val="2"/>
                  <c:pt idx="0">
                    <c:v>1.8563897305213989E-2</c:v>
                  </c:pt>
                  <c:pt idx="1">
                    <c:v>1.5846925769724685E-4</c:v>
                  </c:pt>
                </c:numCache>
              </c:numRef>
            </c:plus>
            <c:minus>
              <c:numRef>
                <c:f>recirculation!$CD$288:$CE$288</c:f>
                <c:numCache>
                  <c:formatCode>General</c:formatCode>
                  <c:ptCount val="2"/>
                  <c:pt idx="0">
                    <c:v>1.8563897305213989E-2</c:v>
                  </c:pt>
                  <c:pt idx="1">
                    <c:v>1.5846925769724685E-4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recirculation!$BP$256:$BP$257</c:f>
              <c:numCache>
                <c:formatCode>General</c:formatCode>
                <c:ptCount val="2"/>
                <c:pt idx="0">
                  <c:v>0.54950761693962724</c:v>
                </c:pt>
                <c:pt idx="1">
                  <c:v>0.76034352276524442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4A-48D5-B9B6-5356AF7A48A7}"/>
            </c:ext>
          </c:extLst>
        </c:ser>
        <c:ser>
          <c:idx val="5"/>
          <c:order val="5"/>
          <c:tx>
            <c:v>66</c:v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recirculation!$CD$289:$CE$289</c:f>
                <c:numCache>
                  <c:formatCode>General</c:formatCode>
                  <c:ptCount val="2"/>
                  <c:pt idx="1">
                    <c:v>9.6097015764323723E-4</c:v>
                  </c:pt>
                </c:numCache>
              </c:numRef>
            </c:plus>
            <c:minus>
              <c:numRef>
                <c:f>recirculation!$CD$289:$CE$289</c:f>
                <c:numCache>
                  <c:formatCode>General</c:formatCode>
                  <c:ptCount val="2"/>
                  <c:pt idx="1">
                    <c:v>9.6097015764323723E-4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recirculation!$BQ$256:$BQ$257</c:f>
              <c:numCache>
                <c:formatCode>General</c:formatCode>
                <c:ptCount val="2"/>
                <c:pt idx="1">
                  <c:v>0.88342665174870938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4A-48D5-B9B6-5356AF7A48A7}"/>
            </c:ext>
          </c:extLst>
        </c:ser>
        <c:ser>
          <c:idx val="6"/>
          <c:order val="6"/>
          <c:tx>
            <c:v>75</c:v>
          </c:tx>
          <c:spPr>
            <a:solidFill>
              <a:schemeClr val="accent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recirculation!$CD$290:$CE$290</c:f>
                <c:numCache>
                  <c:formatCode>General</c:formatCode>
                  <c:ptCount val="2"/>
                  <c:pt idx="1">
                    <c:v>1.8404617137492973E-3</c:v>
                  </c:pt>
                </c:numCache>
              </c:numRef>
            </c:plus>
            <c:minus>
              <c:numRef>
                <c:f>recirculation!$CD$290:$CE$290</c:f>
                <c:numCache>
                  <c:formatCode>General</c:formatCode>
                  <c:ptCount val="2"/>
                  <c:pt idx="1">
                    <c:v>1.8404617137492973E-3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recirculation!$BR$256:$BR$257</c:f>
              <c:numCache>
                <c:formatCode>General</c:formatCode>
                <c:ptCount val="2"/>
                <c:pt idx="1">
                  <c:v>1.0104309037055885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4A-48D5-B9B6-5356AF7A48A7}"/>
            </c:ext>
          </c:extLst>
        </c:ser>
        <c:ser>
          <c:idx val="7"/>
          <c:order val="7"/>
          <c:tx>
            <c:v>84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recirculation!$CD$291:$CE$291</c:f>
                <c:numCache>
                  <c:formatCode>General</c:formatCode>
                  <c:ptCount val="2"/>
                  <c:pt idx="1">
                    <c:v>7.2077061172981516E-4</c:v>
                  </c:pt>
                </c:numCache>
              </c:numRef>
            </c:plus>
            <c:minus>
              <c:numRef>
                <c:f>recirculation!$CD$291:$CE$291</c:f>
                <c:numCache>
                  <c:formatCode>General</c:formatCode>
                  <c:ptCount val="2"/>
                  <c:pt idx="1">
                    <c:v>7.2077061172981516E-4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recirculation!$BS$256:$BS$257</c:f>
              <c:numCache>
                <c:formatCode>General</c:formatCode>
                <c:ptCount val="2"/>
                <c:pt idx="1">
                  <c:v>1.1351922470417362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4A-48D5-B9B6-5356AF7A48A7}"/>
            </c:ext>
          </c:extLst>
        </c:ser>
        <c:ser>
          <c:idx val="8"/>
          <c:order val="8"/>
          <c:tx>
            <c:v>94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recirculation!$CD$292:$CE$292</c:f>
                <c:numCache>
                  <c:formatCode>General</c:formatCode>
                  <c:ptCount val="2"/>
                  <c:pt idx="1">
                    <c:v>6.3217459615139138E-3</c:v>
                  </c:pt>
                </c:numCache>
              </c:numRef>
            </c:plus>
            <c:minus>
              <c:numRef>
                <c:f>recirculation!$CD$292:$CE$292</c:f>
                <c:numCache>
                  <c:formatCode>General</c:formatCode>
                  <c:ptCount val="2"/>
                  <c:pt idx="1">
                    <c:v>6.3217459615139138E-3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recirculation!$BT$256:$BT$257</c:f>
              <c:numCache>
                <c:formatCode>General</c:formatCode>
                <c:ptCount val="2"/>
                <c:pt idx="1">
                  <c:v>1.2633130445466436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4A-48D5-B9B6-5356AF7A48A7}"/>
            </c:ext>
          </c:extLst>
        </c:ser>
        <c:ser>
          <c:idx val="9"/>
          <c:order val="9"/>
          <c:tx>
            <c:v>104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recirculation!$CD$293:$CE$293</c:f>
                <c:numCache>
                  <c:formatCode>General</c:formatCode>
                  <c:ptCount val="2"/>
                  <c:pt idx="1">
                    <c:v>7.2454718775483151E-4</c:v>
                  </c:pt>
                </c:numCache>
              </c:numRef>
            </c:plus>
            <c:minus>
              <c:numRef>
                <c:f>recirculation!$CD$293:$CE$293</c:f>
                <c:numCache>
                  <c:formatCode>General</c:formatCode>
                  <c:ptCount val="2"/>
                  <c:pt idx="1">
                    <c:v>7.2454718775483151E-4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recirculation!$BU$256:$BU$257</c:f>
              <c:numCache>
                <c:formatCode>General</c:formatCode>
                <c:ptCount val="2"/>
                <c:pt idx="1">
                  <c:v>1.3982836068725641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4A-48D5-B9B6-5356AF7A48A7}"/>
            </c:ext>
          </c:extLst>
        </c:ser>
        <c:ser>
          <c:idx val="10"/>
          <c:order val="10"/>
          <c:tx>
            <c:v>113</c:v>
          </c:tx>
          <c:spPr>
            <a:solidFill>
              <a:schemeClr val="accent2">
                <a:lumMod val="50000"/>
              </a:schemeClr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recirculation!$CD$294:$CE$294</c:f>
                <c:numCache>
                  <c:formatCode>General</c:formatCode>
                  <c:ptCount val="2"/>
                  <c:pt idx="1">
                    <c:v>4.0828657731908358E-3</c:v>
                  </c:pt>
                </c:numCache>
              </c:numRef>
            </c:plus>
            <c:minus>
              <c:numRef>
                <c:f>recirculation!$CD$294:$CE$294</c:f>
                <c:numCache>
                  <c:formatCode>General</c:formatCode>
                  <c:ptCount val="2"/>
                  <c:pt idx="1">
                    <c:v>4.0828657731908358E-3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recirculation!$BV$256:$BV$257</c:f>
              <c:numCache>
                <c:formatCode>General</c:formatCode>
                <c:ptCount val="2"/>
                <c:pt idx="1">
                  <c:v>1.5236426640384246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4A-48D5-B9B6-5356AF7A48A7}"/>
            </c:ext>
          </c:extLst>
        </c:ser>
        <c:ser>
          <c:idx val="11"/>
          <c:order val="11"/>
          <c:tx>
            <c:v>120</c:v>
          </c:tx>
          <c:spPr>
            <a:solidFill>
              <a:schemeClr val="accent3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recirculation!$CD$295:$CE$295</c:f>
                <c:numCache>
                  <c:formatCode>General</c:formatCode>
                  <c:ptCount val="2"/>
                  <c:pt idx="1">
                    <c:v>0</c:v>
                  </c:pt>
                </c:numCache>
              </c:numRef>
            </c:plus>
            <c:minus>
              <c:numRef>
                <c:f>recirculation!$CD$295:$CE$295</c:f>
                <c:numCache>
                  <c:formatCode>General</c:formatCode>
                  <c:ptCount val="2"/>
                  <c:pt idx="1">
                    <c:v>0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recirculation!$BW$256:$BW$257</c:f>
              <c:numCache>
                <c:formatCode>General</c:formatCode>
                <c:ptCount val="2"/>
                <c:pt idx="1">
                  <c:v>1.6103025174331871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4A-48D5-B9B6-5356AF7A48A7}"/>
            </c:ext>
          </c:extLst>
        </c:ser>
        <c:ser>
          <c:idx val="12"/>
          <c:order val="12"/>
          <c:tx>
            <c:v>126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recirculation!$CD$296:$CE$296</c:f>
                <c:numCache>
                  <c:formatCode>General</c:formatCode>
                  <c:ptCount val="2"/>
                  <c:pt idx="1">
                    <c:v>1.2000815869225192E-2</c:v>
                  </c:pt>
                </c:numCache>
              </c:numRef>
            </c:plus>
            <c:minus>
              <c:numRef>
                <c:f>recirculation!$CD$296:$CE$296</c:f>
                <c:numCache>
                  <c:formatCode>General</c:formatCode>
                  <c:ptCount val="2"/>
                  <c:pt idx="1">
                    <c:v>1.2000815869225192E-2</c:v>
                  </c:pt>
                </c:numCache>
              </c:numRef>
            </c:minus>
          </c:errBars>
          <c:cat>
            <c:numRef>
              <c:f>recirculation!$BD$260:$BE$260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cat>
          <c:val>
            <c:numRef>
              <c:f>recirculation!$BX$256:$BX$257</c:f>
              <c:numCache>
                <c:formatCode>General</c:formatCode>
                <c:ptCount val="2"/>
                <c:pt idx="1">
                  <c:v>1.69696237082795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4A-48D5-B9B6-5356AF7A4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537728"/>
        <c:axId val="126539648"/>
      </c:barChart>
      <c:catAx>
        <c:axId val="12653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0" i="0" baseline="0">
                    <a:effectLst/>
                  </a:rPr>
                  <a:t>Absorbent temperature (</a:t>
                </a:r>
                <a:r>
                  <a:rPr lang="en-GB" sz="1000" b="0" i="0" u="none" strike="noStrike" baseline="0">
                    <a:effectLst/>
                  </a:rPr>
                  <a:t>°C)</a:t>
                </a:r>
                <a:endParaRPr lang="en-GB" sz="1000" b="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6539648"/>
        <c:crossesAt val="0.1"/>
        <c:auto val="1"/>
        <c:lblAlgn val="ctr"/>
        <c:lblOffset val="100"/>
        <c:noMultiLvlLbl val="0"/>
      </c:catAx>
      <c:valAx>
        <c:axId val="126539648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GB" sz="1000" b="0" i="0" baseline="0">
                    <a:effectLst/>
                  </a:rPr>
                  <a:t>Supersaturation  ratio, </a:t>
                </a:r>
                <a:r>
                  <a:rPr lang="en-US" sz="1000" b="0" i="0" baseline="0">
                    <a:effectLst/>
                  </a:rPr>
                  <a:t>CO</a:t>
                </a:r>
                <a:r>
                  <a:rPr lang="en-US" sz="1000" b="0" i="0" baseline="-25000">
                    <a:effectLst/>
                  </a:rPr>
                  <a:t>2absorbed</a:t>
                </a:r>
                <a:r>
                  <a:rPr lang="en-US" sz="1000" b="0" i="0" baseline="0">
                    <a:effectLst/>
                  </a:rPr>
                  <a:t>/HCO</a:t>
                </a:r>
                <a:r>
                  <a:rPr lang="en-US" sz="1000" b="0" i="0" baseline="-25000">
                    <a:effectLst/>
                  </a:rPr>
                  <a:t>3</a:t>
                </a:r>
                <a:r>
                  <a:rPr lang="en-US" sz="1000" b="0" i="0" baseline="30000">
                    <a:effectLst/>
                  </a:rPr>
                  <a:t>-</a:t>
                </a:r>
                <a:r>
                  <a:rPr lang="en-US" sz="1000" b="0" i="0" baseline="-25000">
                    <a:effectLst/>
                  </a:rPr>
                  <a:t>saturation</a:t>
                </a:r>
                <a:r>
                  <a:rPr lang="en-US" sz="1000" b="0" i="0" baseline="0">
                    <a:effectLst/>
                  </a:rPr>
                  <a:t> </a:t>
                </a:r>
                <a:endParaRPr lang="en-GB" sz="1000">
                  <a:effectLst/>
                </a:endParaRPr>
              </a:p>
              <a:p>
                <a:pPr>
                  <a:defRPr sz="1000"/>
                </a:pPr>
                <a:r>
                  <a:rPr lang="en-GB" sz="1000" b="0" i="0" baseline="0">
                    <a:effectLst/>
                  </a:rPr>
                  <a:t> (C/C*, mol mol</a:t>
                </a:r>
                <a:r>
                  <a:rPr lang="en-GB" sz="1000" b="0" i="0" baseline="30000">
                    <a:effectLst/>
                  </a:rPr>
                  <a:t>-1</a:t>
                </a:r>
                <a:r>
                  <a:rPr lang="en-GB" sz="1000" b="0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2.1222537206543851E-2"/>
              <c:y val="0.26536205124590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53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Qg=50ml/min; VOL liq=100ml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77E-2"/>
          <c:y val="0.10702295599707133"/>
          <c:w val="0.78813719181362629"/>
          <c:h val="0.71952231368613961"/>
        </c:manualLayout>
      </c:layout>
      <c:scatterChart>
        <c:scatterStyle val="lineMarker"/>
        <c:varyColors val="0"/>
        <c:ser>
          <c:idx val="2"/>
          <c:order val="0"/>
          <c:tx>
            <c:v>NH3 3M</c:v>
          </c:tx>
          <c:spPr>
            <a:ln w="28575">
              <a:noFill/>
            </a:ln>
          </c:spPr>
          <c:marker>
            <c:symbol val="triangle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recirculation!$Z$5:$Z$11</c:f>
                <c:numCache>
                  <c:formatCode>General</c:formatCode>
                  <c:ptCount val="7"/>
                  <c:pt idx="0">
                    <c:v>0.86043777220240403</c:v>
                  </c:pt>
                  <c:pt idx="1">
                    <c:v>0.27064988277112456</c:v>
                  </c:pt>
                  <c:pt idx="2">
                    <c:v>9.5797915691049715E-2</c:v>
                  </c:pt>
                  <c:pt idx="3">
                    <c:v>0.2159150999701675</c:v>
                  </c:pt>
                  <c:pt idx="4">
                    <c:v>0.19431919760966718</c:v>
                  </c:pt>
                  <c:pt idx="5">
                    <c:v>7.7596238065056805E-2</c:v>
                  </c:pt>
                  <c:pt idx="6">
                    <c:v>0.10891080542974139</c:v>
                  </c:pt>
                </c:numCache>
              </c:numRef>
            </c:plus>
            <c:minus>
              <c:numRef>
                <c:f>recirculation!$Z$5:$Z$11</c:f>
                <c:numCache>
                  <c:formatCode>General</c:formatCode>
                  <c:ptCount val="7"/>
                  <c:pt idx="0">
                    <c:v>0.86043777220240403</c:v>
                  </c:pt>
                  <c:pt idx="1">
                    <c:v>0.27064988277112456</c:v>
                  </c:pt>
                  <c:pt idx="2">
                    <c:v>9.5797915691049715E-2</c:v>
                  </c:pt>
                  <c:pt idx="3">
                    <c:v>0.2159150999701675</c:v>
                  </c:pt>
                  <c:pt idx="4">
                    <c:v>0.19431919760966718</c:v>
                  </c:pt>
                  <c:pt idx="5">
                    <c:v>7.7596238065056805E-2</c:v>
                  </c:pt>
                  <c:pt idx="6">
                    <c:v>0.10891080542974139</c:v>
                  </c:pt>
                </c:numCache>
              </c:numRef>
            </c:minus>
          </c:errBars>
          <c:xVal>
            <c:numRef>
              <c:f>recirculation!$A$64:$A$71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</c:numCache>
            </c:numRef>
          </c:xVal>
          <c:yVal>
            <c:numRef>
              <c:f>recirculation!$I$64:$I$71</c:f>
              <c:numCache>
                <c:formatCode>General</c:formatCode>
                <c:ptCount val="8"/>
                <c:pt idx="0">
                  <c:v>18.162837468694921</c:v>
                </c:pt>
                <c:pt idx="1">
                  <c:v>14.547151295834921</c:v>
                </c:pt>
                <c:pt idx="2">
                  <c:v>12.68937778221083</c:v>
                </c:pt>
                <c:pt idx="3">
                  <c:v>8.7637830411161524</c:v>
                </c:pt>
                <c:pt idx="4">
                  <c:v>6.6276642287046723</c:v>
                </c:pt>
                <c:pt idx="5">
                  <c:v>5.0053398170198493</c:v>
                </c:pt>
                <c:pt idx="6">
                  <c:v>3.8012889916842547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66-44AC-A11F-AC9CD163F21A}"/>
            </c:ext>
          </c:extLst>
        </c:ser>
        <c:ser>
          <c:idx val="1"/>
          <c:order val="1"/>
          <c:tx>
            <c:v>NH3 2.3M</c:v>
          </c:tx>
          <c:spPr>
            <a:ln w="28575">
              <a:noFill/>
            </a:ln>
          </c:spPr>
          <c:marker>
            <c:symbol val="square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recirculation!$BD$5:$BD$21</c:f>
                <c:numCache>
                  <c:formatCode>General</c:formatCode>
                  <c:ptCount val="17"/>
                  <c:pt idx="0">
                    <c:v>0.30696814312868248</c:v>
                  </c:pt>
                  <c:pt idx="1">
                    <c:v>0.12061017281297398</c:v>
                  </c:pt>
                  <c:pt idx="2">
                    <c:v>0.12185829437011782</c:v>
                  </c:pt>
                  <c:pt idx="3">
                    <c:v>8.5354148033546823E-2</c:v>
                  </c:pt>
                  <c:pt idx="4">
                    <c:v>0.11950863891365859</c:v>
                  </c:pt>
                  <c:pt idx="5">
                    <c:v>0.66787549687602055</c:v>
                  </c:pt>
                  <c:pt idx="6">
                    <c:v>0.6319733838704783</c:v>
                  </c:pt>
                  <c:pt idx="7">
                    <c:v>9.6555479408309539E-2</c:v>
                  </c:pt>
                  <c:pt idx="8">
                    <c:v>0.1372484106627509</c:v>
                  </c:pt>
                  <c:pt idx="9">
                    <c:v>0.3172306818261067</c:v>
                  </c:pt>
                  <c:pt idx="10">
                    <c:v>9.6843935164995468E-2</c:v>
                  </c:pt>
                  <c:pt idx="11">
                    <c:v>0.2500430314810958</c:v>
                  </c:pt>
                  <c:pt idx="12">
                    <c:v>0.13376145814399568</c:v>
                  </c:pt>
                  <c:pt idx="13">
                    <c:v>6.355019965095679E-2</c:v>
                  </c:pt>
                  <c:pt idx="14">
                    <c:v>0.28394751429667525</c:v>
                  </c:pt>
                  <c:pt idx="15">
                    <c:v>0.24808760188343654</c:v>
                  </c:pt>
                  <c:pt idx="16">
                    <c:v>9.5902906779834665E-2</c:v>
                  </c:pt>
                </c:numCache>
              </c:numRef>
            </c:plus>
            <c:minus>
              <c:numRef>
                <c:f>recirculation!$BD$5:$BD$21</c:f>
                <c:numCache>
                  <c:formatCode>General</c:formatCode>
                  <c:ptCount val="17"/>
                  <c:pt idx="0">
                    <c:v>0.30696814312868248</c:v>
                  </c:pt>
                  <c:pt idx="1">
                    <c:v>0.12061017281297398</c:v>
                  </c:pt>
                  <c:pt idx="2">
                    <c:v>0.12185829437011782</c:v>
                  </c:pt>
                  <c:pt idx="3">
                    <c:v>8.5354148033546823E-2</c:v>
                  </c:pt>
                  <c:pt idx="4">
                    <c:v>0.11950863891365859</c:v>
                  </c:pt>
                  <c:pt idx="5">
                    <c:v>0.66787549687602055</c:v>
                  </c:pt>
                  <c:pt idx="6">
                    <c:v>0.6319733838704783</c:v>
                  </c:pt>
                  <c:pt idx="7">
                    <c:v>9.6555479408309539E-2</c:v>
                  </c:pt>
                  <c:pt idx="8">
                    <c:v>0.1372484106627509</c:v>
                  </c:pt>
                  <c:pt idx="9">
                    <c:v>0.3172306818261067</c:v>
                  </c:pt>
                  <c:pt idx="10">
                    <c:v>9.6843935164995468E-2</c:v>
                  </c:pt>
                  <c:pt idx="11">
                    <c:v>0.2500430314810958</c:v>
                  </c:pt>
                  <c:pt idx="12">
                    <c:v>0.13376145814399568</c:v>
                  </c:pt>
                  <c:pt idx="13">
                    <c:v>6.355019965095679E-2</c:v>
                  </c:pt>
                  <c:pt idx="14">
                    <c:v>0.28394751429667525</c:v>
                  </c:pt>
                  <c:pt idx="15">
                    <c:v>0.24808760188343654</c:v>
                  </c:pt>
                  <c:pt idx="16">
                    <c:v>9.5902906779834665E-2</c:v>
                  </c:pt>
                </c:numCache>
              </c:numRef>
            </c:minus>
          </c:errBars>
          <c:xVal>
            <c:numRef>
              <c:f>recirculation!$AG$70:$AG$86</c:f>
              <c:numCache>
                <c:formatCode>General</c:formatCode>
                <c:ptCount val="1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  <c:pt idx="10">
                  <c:v>26</c:v>
                </c:pt>
                <c:pt idx="11">
                  <c:v>30</c:v>
                </c:pt>
                <c:pt idx="12">
                  <c:v>42</c:v>
                </c:pt>
                <c:pt idx="13">
                  <c:v>46</c:v>
                </c:pt>
                <c:pt idx="14">
                  <c:v>50</c:v>
                </c:pt>
                <c:pt idx="15">
                  <c:v>54</c:v>
                </c:pt>
                <c:pt idx="16">
                  <c:v>65</c:v>
                </c:pt>
              </c:numCache>
            </c:numRef>
          </c:xVal>
          <c:yVal>
            <c:numRef>
              <c:f>recirculation!$AO$70:$AO$86</c:f>
              <c:numCache>
                <c:formatCode>General</c:formatCode>
                <c:ptCount val="17"/>
                <c:pt idx="0">
                  <c:v>12.158117272136266</c:v>
                </c:pt>
                <c:pt idx="1">
                  <c:v>11.835750685606655</c:v>
                </c:pt>
                <c:pt idx="2">
                  <c:v>9.3949798180657247</c:v>
                </c:pt>
                <c:pt idx="3">
                  <c:v>6.6069458373754246</c:v>
                </c:pt>
                <c:pt idx="4">
                  <c:v>5.0745345875241705</c:v>
                </c:pt>
                <c:pt idx="5">
                  <c:v>4.1340068663012666</c:v>
                </c:pt>
                <c:pt idx="6">
                  <c:v>2.0710984851895793</c:v>
                </c:pt>
                <c:pt idx="7">
                  <c:v>1.9153163293600632</c:v>
                </c:pt>
                <c:pt idx="8">
                  <c:v>0.95646984886983988</c:v>
                </c:pt>
                <c:pt idx="9">
                  <c:v>0.52076605053500669</c:v>
                </c:pt>
                <c:pt idx="10">
                  <c:v>0.58969048758192999</c:v>
                </c:pt>
                <c:pt idx="11">
                  <c:v>0.69339876880239915</c:v>
                </c:pt>
                <c:pt idx="12">
                  <c:v>0.52544547590702462</c:v>
                </c:pt>
                <c:pt idx="13">
                  <c:v>0.45203652035787822</c:v>
                </c:pt>
                <c:pt idx="14">
                  <c:v>0.25592025370446753</c:v>
                </c:pt>
                <c:pt idx="15">
                  <c:v>7.8061424709093691E-2</c:v>
                </c:pt>
                <c:pt idx="16">
                  <c:v>0.13160979436545295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66-44AC-A11F-AC9CD163F21A}"/>
            </c:ext>
          </c:extLst>
        </c:ser>
        <c:ser>
          <c:idx val="0"/>
          <c:order val="2"/>
          <c:tx>
            <c:v>NH3 0.6M</c:v>
          </c:tx>
          <c:spPr>
            <a:ln w="28575">
              <a:noFill/>
            </a:ln>
          </c:spPr>
          <c:marker>
            <c:symbol val="diamond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recirculation!$CG$5:$CG$15</c:f>
                <c:numCache>
                  <c:formatCode>General</c:formatCode>
                  <c:ptCount val="11"/>
                  <c:pt idx="0">
                    <c:v>0.2528787644630775</c:v>
                  </c:pt>
                  <c:pt idx="1">
                    <c:v>0.10097981826958236</c:v>
                  </c:pt>
                  <c:pt idx="2">
                    <c:v>0.13960750802145783</c:v>
                  </c:pt>
                  <c:pt idx="3">
                    <c:v>0.16770451798261443</c:v>
                  </c:pt>
                  <c:pt idx="4">
                    <c:v>0.32668241596615449</c:v>
                  </c:pt>
                  <c:pt idx="5">
                    <c:v>0.31769828685948215</c:v>
                  </c:pt>
                  <c:pt idx="6">
                    <c:v>0.18536767125171968</c:v>
                  </c:pt>
                  <c:pt idx="7">
                    <c:v>0.1331492068312633</c:v>
                  </c:pt>
                  <c:pt idx="8">
                    <c:v>6.1692562388509502E-2</c:v>
                  </c:pt>
                  <c:pt idx="9">
                    <c:v>8.0710086396584335E-2</c:v>
                  </c:pt>
                  <c:pt idx="10">
                    <c:v>7.9881393951255902E-2</c:v>
                  </c:pt>
                </c:numCache>
              </c:numRef>
            </c:plus>
            <c:minus>
              <c:numRef>
                <c:f>recirculation!$CG$5:$CG$15</c:f>
                <c:numCache>
                  <c:formatCode>General</c:formatCode>
                  <c:ptCount val="11"/>
                  <c:pt idx="0">
                    <c:v>0.2528787644630775</c:v>
                  </c:pt>
                  <c:pt idx="1">
                    <c:v>0.10097981826958236</c:v>
                  </c:pt>
                  <c:pt idx="2">
                    <c:v>0.13960750802145783</c:v>
                  </c:pt>
                  <c:pt idx="3">
                    <c:v>0.16770451798261443</c:v>
                  </c:pt>
                  <c:pt idx="4">
                    <c:v>0.32668241596615449</c:v>
                  </c:pt>
                  <c:pt idx="5">
                    <c:v>0.31769828685948215</c:v>
                  </c:pt>
                  <c:pt idx="6">
                    <c:v>0.18536767125171968</c:v>
                  </c:pt>
                  <c:pt idx="7">
                    <c:v>0.1331492068312633</c:v>
                  </c:pt>
                  <c:pt idx="8">
                    <c:v>6.1692562388509502E-2</c:v>
                  </c:pt>
                  <c:pt idx="9">
                    <c:v>8.0710086396584335E-2</c:v>
                  </c:pt>
                  <c:pt idx="10">
                    <c:v>7.9881393951255902E-2</c:v>
                  </c:pt>
                </c:numCache>
              </c:numRef>
            </c:minus>
          </c:errBars>
          <c:xVal>
            <c:numRef>
              <c:f>recirculation!$BI$70:$BI$80</c:f>
              <c:numCache>
                <c:formatCode>General</c:formatCode>
                <c:ptCount val="11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18</c:v>
                </c:pt>
                <c:pt idx="9">
                  <c:v>22</c:v>
                </c:pt>
                <c:pt idx="10">
                  <c:v>26</c:v>
                </c:pt>
              </c:numCache>
            </c:numRef>
          </c:xVal>
          <c:yVal>
            <c:numRef>
              <c:f>recirculation!$BQ$70:$BQ$80</c:f>
              <c:numCache>
                <c:formatCode>General</c:formatCode>
                <c:ptCount val="11"/>
                <c:pt idx="0">
                  <c:v>3.1751171016959461</c:v>
                </c:pt>
                <c:pt idx="1">
                  <c:v>3.0986409425141868</c:v>
                </c:pt>
                <c:pt idx="2">
                  <c:v>2.414121398175479</c:v>
                </c:pt>
                <c:pt idx="3">
                  <c:v>1.8650420433093473</c:v>
                </c:pt>
                <c:pt idx="4">
                  <c:v>1.4904718444244265</c:v>
                </c:pt>
                <c:pt idx="5">
                  <c:v>1.1179186038958591</c:v>
                </c:pt>
                <c:pt idx="6">
                  <c:v>0.92749408869599015</c:v>
                </c:pt>
                <c:pt idx="7">
                  <c:v>0.52653270770010951</c:v>
                </c:pt>
                <c:pt idx="8">
                  <c:v>0.43478378001428497</c:v>
                </c:pt>
                <c:pt idx="9">
                  <c:v>5.6180510623799279E-2</c:v>
                </c:pt>
                <c:pt idx="10">
                  <c:v>4.05021322785519E-2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66-44AC-A11F-AC9CD163F21A}"/>
            </c:ext>
          </c:extLst>
        </c:ser>
        <c:ser>
          <c:idx val="3"/>
          <c:order val="3"/>
          <c:tx>
            <c:v>NH3 0.06M</c:v>
          </c:tx>
          <c:spPr>
            <a:ln w="28575">
              <a:noFill/>
            </a:ln>
          </c:spPr>
          <c:marker>
            <c:symbol val="x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recirculation!$DI$5:$DI$11</c:f>
                <c:numCache>
                  <c:formatCode>General</c:formatCode>
                  <c:ptCount val="7"/>
                  <c:pt idx="0">
                    <c:v>5.3359423854576919E-2</c:v>
                  </c:pt>
                  <c:pt idx="1">
                    <c:v>5.921760673256557E-2</c:v>
                  </c:pt>
                  <c:pt idx="2">
                    <c:v>4.0064273780157242E-2</c:v>
                  </c:pt>
                  <c:pt idx="3">
                    <c:v>0.11395004609581971</c:v>
                  </c:pt>
                  <c:pt idx="4">
                    <c:v>9.5003561595699823E-2</c:v>
                  </c:pt>
                  <c:pt idx="5">
                    <c:v>8.1735530371573259E-2</c:v>
                  </c:pt>
                  <c:pt idx="6">
                    <c:v>8.1906694677809699E-2</c:v>
                  </c:pt>
                </c:numCache>
              </c:numRef>
            </c:plus>
            <c:minus>
              <c:numRef>
                <c:f>recirculation!$DI$5:$DI$11</c:f>
                <c:numCache>
                  <c:formatCode>General</c:formatCode>
                  <c:ptCount val="7"/>
                  <c:pt idx="0">
                    <c:v>5.3359423854576919E-2</c:v>
                  </c:pt>
                  <c:pt idx="1">
                    <c:v>5.921760673256557E-2</c:v>
                  </c:pt>
                  <c:pt idx="2">
                    <c:v>4.0064273780157242E-2</c:v>
                  </c:pt>
                  <c:pt idx="3">
                    <c:v>0.11395004609581971</c:v>
                  </c:pt>
                  <c:pt idx="4">
                    <c:v>9.5003561595699823E-2</c:v>
                  </c:pt>
                  <c:pt idx="5">
                    <c:v>8.1735530371573259E-2</c:v>
                  </c:pt>
                  <c:pt idx="6">
                    <c:v>8.1906694677809699E-2</c:v>
                  </c:pt>
                </c:numCache>
              </c:numRef>
            </c:minus>
          </c:errBars>
          <c:xVal>
            <c:numRef>
              <c:f>recirculation!$CJ$70:$CJ$76</c:f>
              <c:numCache>
                <c:formatCode>General</c:formatCode>
                <c:ptCount val="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</c:numCache>
            </c:numRef>
          </c:xVal>
          <c:yVal>
            <c:numRef>
              <c:f>recirculation!$CR$70:$CR$76</c:f>
              <c:numCache>
                <c:formatCode>General</c:formatCode>
                <c:ptCount val="7"/>
                <c:pt idx="0">
                  <c:v>0.55745800907708254</c:v>
                </c:pt>
                <c:pt idx="1">
                  <c:v>0.47286779869970041</c:v>
                </c:pt>
                <c:pt idx="2">
                  <c:v>0.16176875497494925</c:v>
                </c:pt>
                <c:pt idx="3">
                  <c:v>0.15621543790361181</c:v>
                </c:pt>
                <c:pt idx="4">
                  <c:v>0.10286906471801535</c:v>
                </c:pt>
                <c:pt idx="5">
                  <c:v>7.1569225790620999E-2</c:v>
                </c:pt>
                <c:pt idx="6">
                  <c:v>5.8393160858503539E-2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866-44AC-A11F-AC9CD163F21A}"/>
            </c:ext>
          </c:extLst>
        </c:ser>
        <c:ser>
          <c:idx val="4"/>
          <c:order val="4"/>
          <c:tx>
            <c:v>NH3 0.006M</c:v>
          </c:tx>
          <c:spPr>
            <a:ln w="28575">
              <a:noFill/>
            </a:ln>
          </c:spPr>
          <c:marker>
            <c:symbol val="star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recirculation!$EU$5:$EU$11</c:f>
                <c:numCache>
                  <c:formatCode>General</c:formatCode>
                  <c:ptCount val="7"/>
                  <c:pt idx="0">
                    <c:v>8.1211922129572456E-2</c:v>
                  </c:pt>
                  <c:pt idx="1">
                    <c:v>6.87700942122043E-2</c:v>
                  </c:pt>
                  <c:pt idx="2">
                    <c:v>0.11471906258570212</c:v>
                  </c:pt>
                  <c:pt idx="3">
                    <c:v>9.7752977826689944E-2</c:v>
                  </c:pt>
                  <c:pt idx="4">
                    <c:v>7.0703182132828266E-2</c:v>
                  </c:pt>
                  <c:pt idx="5">
                    <c:v>8.5859447719876039E-2</c:v>
                  </c:pt>
                  <c:pt idx="6">
                    <c:v>0.12764572237036334</c:v>
                  </c:pt>
                </c:numCache>
              </c:numRef>
            </c:plus>
            <c:minus>
              <c:numRef>
                <c:f>recirculation!$EU$5:$EU$11</c:f>
                <c:numCache>
                  <c:formatCode>General</c:formatCode>
                  <c:ptCount val="7"/>
                  <c:pt idx="0">
                    <c:v>8.1211922129572456E-2</c:v>
                  </c:pt>
                  <c:pt idx="1">
                    <c:v>6.87700942122043E-2</c:v>
                  </c:pt>
                  <c:pt idx="2">
                    <c:v>0.11471906258570212</c:v>
                  </c:pt>
                  <c:pt idx="3">
                    <c:v>9.7752977826689944E-2</c:v>
                  </c:pt>
                  <c:pt idx="4">
                    <c:v>7.0703182132828266E-2</c:v>
                  </c:pt>
                  <c:pt idx="5">
                    <c:v>8.5859447719876039E-2</c:v>
                  </c:pt>
                  <c:pt idx="6">
                    <c:v>0.12764572237036334</c:v>
                  </c:pt>
                </c:numCache>
              </c:numRef>
            </c:minus>
          </c:errBars>
          <c:xVal>
            <c:numRef>
              <c:f>recirculation!$DV$70:$DV$76</c:f>
              <c:numCache>
                <c:formatCode>General</c:formatCode>
                <c:ptCount val="7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</c:numCache>
            </c:numRef>
          </c:xVal>
          <c:yVal>
            <c:numRef>
              <c:f>recirculation!$ED$70:$ED$76</c:f>
              <c:numCache>
                <c:formatCode>General</c:formatCode>
                <c:ptCount val="7"/>
                <c:pt idx="0">
                  <c:v>0.37590145131718</c:v>
                </c:pt>
                <c:pt idx="1">
                  <c:v>0.31236264781986667</c:v>
                </c:pt>
                <c:pt idx="2">
                  <c:v>0.21474787540346094</c:v>
                </c:pt>
                <c:pt idx="3">
                  <c:v>0.19096470136156463</c:v>
                </c:pt>
                <c:pt idx="4">
                  <c:v>7.2700629876049333E-2</c:v>
                </c:pt>
                <c:pt idx="5">
                  <c:v>5.2845814493338653E-2</c:v>
                </c:pt>
                <c:pt idx="6">
                  <c:v>3.3008579552603967E-3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866-44AC-A11F-AC9CD163F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72928"/>
        <c:axId val="111375104"/>
      </c:scatterChart>
      <c:valAx>
        <c:axId val="11137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/>
                  <a:t>Time</a:t>
                </a:r>
                <a:r>
                  <a:rPr lang="en-GB" sz="1500" baseline="0"/>
                  <a:t> measurement (hours)</a:t>
                </a:r>
                <a:endParaRPr lang="en-GB" sz="15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1375104"/>
        <c:crosses val="autoZero"/>
        <c:crossBetween val="midCat"/>
        <c:majorUnit val="5"/>
      </c:valAx>
      <c:valAx>
        <c:axId val="11137510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</a:t>
                </a:r>
                <a:r>
                  <a:rPr lang="en-US" sz="1500" baseline="-25000"/>
                  <a:t>CO2 </a:t>
                </a:r>
                <a:r>
                  <a:rPr lang="en-US" sz="1500"/>
                  <a:t>(*10</a:t>
                </a:r>
                <a:r>
                  <a:rPr lang="en-US" sz="1500" baseline="30000"/>
                  <a:t>3</a:t>
                </a:r>
                <a:r>
                  <a:rPr lang="en-US" sz="1500"/>
                  <a:t>molCO</a:t>
                </a:r>
                <a:r>
                  <a:rPr lang="en-US" sz="1500" baseline="-25000"/>
                  <a:t>2</a:t>
                </a:r>
                <a:r>
                  <a:rPr lang="en-US" sz="1500"/>
                  <a:t>/m</a:t>
                </a:r>
                <a:r>
                  <a:rPr lang="en-US" sz="1500" baseline="30000"/>
                  <a:t>2</a:t>
                </a:r>
                <a:r>
                  <a:rPr lang="en-US" sz="1500"/>
                  <a:t>*s)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1372928"/>
        <c:crosses val="autoZero"/>
        <c:crossBetween val="midCat"/>
        <c:majorUnit val="2"/>
        <c:minorUnit val="4.0000000000000015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525495397405694E-2"/>
          <c:y val="1.8418605190803301E-2"/>
          <c:w val="0.87337513517974397"/>
          <c:h val="0.87910987376992844"/>
        </c:manualLayout>
      </c:layout>
      <c:scatterChart>
        <c:scatterStyle val="lineMarker"/>
        <c:varyColors val="0"/>
        <c:ser>
          <c:idx val="0"/>
          <c:order val="0"/>
          <c:tx>
            <c:v>0.6M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pass'!$DZ$5:$DZ$16</c:f>
                <c:numCache>
                  <c:formatCode>General</c:formatCode>
                  <c:ptCount val="12"/>
                  <c:pt idx="0">
                    <c:v>0.14773820080929079</c:v>
                  </c:pt>
                  <c:pt idx="1">
                    <c:v>5.8050547834789003E-2</c:v>
                  </c:pt>
                  <c:pt idx="2">
                    <c:v>0.21168376000138664</c:v>
                  </c:pt>
                  <c:pt idx="3">
                    <c:v>6.492680391966911E-2</c:v>
                  </c:pt>
                  <c:pt idx="4">
                    <c:v>0.20169939254351021</c:v>
                  </c:pt>
                  <c:pt idx="5">
                    <c:v>0.14077418831030339</c:v>
                  </c:pt>
                  <c:pt idx="6">
                    <c:v>0.12931018157328164</c:v>
                  </c:pt>
                  <c:pt idx="7">
                    <c:v>0.12473008545349082</c:v>
                  </c:pt>
                  <c:pt idx="8">
                    <c:v>0.16532203739900023</c:v>
                  </c:pt>
                  <c:pt idx="9">
                    <c:v>0.11541740587211259</c:v>
                  </c:pt>
                  <c:pt idx="10">
                    <c:v>0.11147529596868626</c:v>
                  </c:pt>
                  <c:pt idx="11">
                    <c:v>8.0631463206817147E-2</c:v>
                  </c:pt>
                </c:numCache>
              </c:numRef>
            </c:plus>
            <c:minus>
              <c:numRef>
                <c:f>'Single pass'!$DZ$5:$DZ$16</c:f>
                <c:numCache>
                  <c:formatCode>General</c:formatCode>
                  <c:ptCount val="12"/>
                  <c:pt idx="0">
                    <c:v>0.14773820080929079</c:v>
                  </c:pt>
                  <c:pt idx="1">
                    <c:v>5.8050547834789003E-2</c:v>
                  </c:pt>
                  <c:pt idx="2">
                    <c:v>0.21168376000138664</c:v>
                  </c:pt>
                  <c:pt idx="3">
                    <c:v>6.492680391966911E-2</c:v>
                  </c:pt>
                  <c:pt idx="4">
                    <c:v>0.20169939254351021</c:v>
                  </c:pt>
                  <c:pt idx="5">
                    <c:v>0.14077418831030339</c:v>
                  </c:pt>
                  <c:pt idx="6">
                    <c:v>0.12931018157328164</c:v>
                  </c:pt>
                  <c:pt idx="7">
                    <c:v>0.12473008545349082</c:v>
                  </c:pt>
                  <c:pt idx="8">
                    <c:v>0.16532203739900023</c:v>
                  </c:pt>
                  <c:pt idx="9">
                    <c:v>0.11541740587211259</c:v>
                  </c:pt>
                  <c:pt idx="10">
                    <c:v>0.11147529596868626</c:v>
                  </c:pt>
                  <c:pt idx="11">
                    <c:v>8.0631463206817147E-2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pass'!$DB$69:$DB$80</c:f>
              <c:numCache>
                <c:formatCode>0</c:formatCode>
                <c:ptCount val="12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  <c:pt idx="7">
                  <c:v>240</c:v>
                </c:pt>
                <c:pt idx="8">
                  <c:v>360</c:v>
                </c:pt>
                <c:pt idx="9">
                  <c:v>480</c:v>
                </c:pt>
                <c:pt idx="10">
                  <c:v>600</c:v>
                </c:pt>
                <c:pt idx="11">
                  <c:v>720</c:v>
                </c:pt>
              </c:numCache>
            </c:numRef>
          </c:xVal>
          <c:yVal>
            <c:numRef>
              <c:f>'Single pass'!$DI$69:$DI$80</c:f>
              <c:numCache>
                <c:formatCode>General</c:formatCode>
                <c:ptCount val="12"/>
                <c:pt idx="0">
                  <c:v>2.7144076212672936</c:v>
                </c:pt>
                <c:pt idx="1">
                  <c:v>2.9128131096740093</c:v>
                </c:pt>
                <c:pt idx="2">
                  <c:v>2.9071889159047539</c:v>
                </c:pt>
                <c:pt idx="3">
                  <c:v>2.9018911858548835</c:v>
                </c:pt>
                <c:pt idx="4">
                  <c:v>2.9985559462863787</c:v>
                </c:pt>
                <c:pt idx="5">
                  <c:v>3.0300365914620304</c:v>
                </c:pt>
                <c:pt idx="6">
                  <c:v>3.0612409235479778</c:v>
                </c:pt>
                <c:pt idx="7">
                  <c:v>3.0621093014058296</c:v>
                </c:pt>
                <c:pt idx="8">
                  <c:v>3.2107972547042607</c:v>
                </c:pt>
                <c:pt idx="9">
                  <c:v>3.2669691833444325</c:v>
                </c:pt>
                <c:pt idx="10">
                  <c:v>3.2844017352648924</c:v>
                </c:pt>
                <c:pt idx="11">
                  <c:v>3.317594274277174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3F-4154-8CDD-1234D52FA213}"/>
            </c:ext>
          </c:extLst>
        </c:ser>
        <c:ser>
          <c:idx val="1"/>
          <c:order val="1"/>
          <c:tx>
            <c:v>2.3M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pass'!$CQ$5:$CQ$11</c:f>
                <c:numCache>
                  <c:formatCode>General</c:formatCode>
                  <c:ptCount val="7"/>
                  <c:pt idx="0">
                    <c:v>0.16891768104887631</c:v>
                  </c:pt>
                  <c:pt idx="1">
                    <c:v>6.8868264017693678E-2</c:v>
                  </c:pt>
                  <c:pt idx="2">
                    <c:v>6.1610016112314973E-2</c:v>
                  </c:pt>
                  <c:pt idx="3">
                    <c:v>4.1730384789107615E-2</c:v>
                  </c:pt>
                  <c:pt idx="4">
                    <c:v>8.9176854764611194E-2</c:v>
                  </c:pt>
                  <c:pt idx="5">
                    <c:v>6.4331280033373101E-2</c:v>
                  </c:pt>
                  <c:pt idx="6">
                    <c:v>0.73827396969809855</c:v>
                  </c:pt>
                </c:numCache>
              </c:numRef>
            </c:plus>
            <c:minus>
              <c:numRef>
                <c:f>'Single pass'!$CQ$5:$CQ$11</c:f>
                <c:numCache>
                  <c:formatCode>General</c:formatCode>
                  <c:ptCount val="7"/>
                  <c:pt idx="0">
                    <c:v>0.16891768104887631</c:v>
                  </c:pt>
                  <c:pt idx="1">
                    <c:v>6.8868264017693678E-2</c:v>
                  </c:pt>
                  <c:pt idx="2">
                    <c:v>6.1610016112314973E-2</c:v>
                  </c:pt>
                  <c:pt idx="3">
                    <c:v>4.1730384789107615E-2</c:v>
                  </c:pt>
                  <c:pt idx="4">
                    <c:v>8.9176854764611194E-2</c:v>
                  </c:pt>
                  <c:pt idx="5">
                    <c:v>6.4331280033373101E-2</c:v>
                  </c:pt>
                  <c:pt idx="6">
                    <c:v>0.73827396969809855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pass'!$AK$69:$AK$74</c:f>
              <c:numCache>
                <c:formatCode>0</c:formatCode>
                <c:ptCount val="6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180</c:v>
                </c:pt>
              </c:numCache>
            </c:numRef>
          </c:xVal>
          <c:yVal>
            <c:numRef>
              <c:f>'Single pass'!$AR$69:$AR$74</c:f>
              <c:numCache>
                <c:formatCode>General</c:formatCode>
                <c:ptCount val="6"/>
                <c:pt idx="0">
                  <c:v>11.901930722154283</c:v>
                </c:pt>
                <c:pt idx="1">
                  <c:v>12.474088166443396</c:v>
                </c:pt>
                <c:pt idx="2">
                  <c:v>12.503445913946326</c:v>
                </c:pt>
                <c:pt idx="3">
                  <c:v>12.514557993150236</c:v>
                </c:pt>
                <c:pt idx="4">
                  <c:v>12.566456034119373</c:v>
                </c:pt>
                <c:pt idx="5">
                  <c:v>12.818258501133753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3F-4154-8CDD-1234D52FA213}"/>
            </c:ext>
          </c:extLst>
        </c:ser>
        <c:ser>
          <c:idx val="2"/>
          <c:order val="2"/>
          <c:tx>
            <c:v>3M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pass'!$Z$5:$Z$21</c:f>
                <c:numCache>
                  <c:formatCode>General</c:formatCode>
                  <c:ptCount val="17"/>
                  <c:pt idx="0">
                    <c:v>0.15580012284013903</c:v>
                  </c:pt>
                  <c:pt idx="1">
                    <c:v>5.3983674894531125E-2</c:v>
                  </c:pt>
                  <c:pt idx="2">
                    <c:v>4.5999559287852015E-2</c:v>
                  </c:pt>
                  <c:pt idx="3">
                    <c:v>6.8005911930421645E-2</c:v>
                  </c:pt>
                  <c:pt idx="4">
                    <c:v>0.18017785839324194</c:v>
                  </c:pt>
                  <c:pt idx="5">
                    <c:v>7.9944660659003075E-2</c:v>
                  </c:pt>
                  <c:pt idx="6">
                    <c:v>0.1042349459298515</c:v>
                  </c:pt>
                  <c:pt idx="7">
                    <c:v>8.499914666852558E-2</c:v>
                  </c:pt>
                  <c:pt idx="8">
                    <c:v>3.6821674195974097E-2</c:v>
                  </c:pt>
                  <c:pt idx="9">
                    <c:v>0.26209843400920985</c:v>
                  </c:pt>
                  <c:pt idx="10">
                    <c:v>4.9289463714219897E-2</c:v>
                  </c:pt>
                  <c:pt idx="11">
                    <c:v>8.0456436111980473E-2</c:v>
                  </c:pt>
                  <c:pt idx="12">
                    <c:v>6.3229660017730477E-2</c:v>
                  </c:pt>
                  <c:pt idx="13">
                    <c:v>0.72257529343553584</c:v>
                  </c:pt>
                  <c:pt idx="14">
                    <c:v>0.22887980060542071</c:v>
                  </c:pt>
                  <c:pt idx="15">
                    <c:v>0.40885646292086542</c:v>
                  </c:pt>
                  <c:pt idx="16">
                    <c:v>0</c:v>
                  </c:pt>
                </c:numCache>
              </c:numRef>
            </c:plus>
            <c:minus>
              <c:numRef>
                <c:f>'Single pass'!$Z$5:$Z$21</c:f>
                <c:numCache>
                  <c:formatCode>General</c:formatCode>
                  <c:ptCount val="17"/>
                  <c:pt idx="0">
                    <c:v>0.15580012284013903</c:v>
                  </c:pt>
                  <c:pt idx="1">
                    <c:v>5.3983674894531125E-2</c:v>
                  </c:pt>
                  <c:pt idx="2">
                    <c:v>4.5999559287852015E-2</c:v>
                  </c:pt>
                  <c:pt idx="3">
                    <c:v>6.8005911930421645E-2</c:v>
                  </c:pt>
                  <c:pt idx="4">
                    <c:v>0.18017785839324194</c:v>
                  </c:pt>
                  <c:pt idx="5">
                    <c:v>7.9944660659003075E-2</c:v>
                  </c:pt>
                  <c:pt idx="6">
                    <c:v>0.1042349459298515</c:v>
                  </c:pt>
                  <c:pt idx="7">
                    <c:v>8.499914666852558E-2</c:v>
                  </c:pt>
                  <c:pt idx="8">
                    <c:v>3.6821674195974097E-2</c:v>
                  </c:pt>
                  <c:pt idx="9">
                    <c:v>0.26209843400920985</c:v>
                  </c:pt>
                  <c:pt idx="10">
                    <c:v>4.9289463714219897E-2</c:v>
                  </c:pt>
                  <c:pt idx="11">
                    <c:v>8.0456436111980473E-2</c:v>
                  </c:pt>
                  <c:pt idx="12">
                    <c:v>6.3229660017730477E-2</c:v>
                  </c:pt>
                  <c:pt idx="13">
                    <c:v>0.72257529343553584</c:v>
                  </c:pt>
                  <c:pt idx="14">
                    <c:v>0.22887980060542071</c:v>
                  </c:pt>
                  <c:pt idx="15">
                    <c:v>0.40885646292086542</c:v>
                  </c:pt>
                  <c:pt idx="16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pass'!$B$69:$B$85</c:f>
              <c:numCache>
                <c:formatCode>0</c:formatCode>
                <c:ptCount val="17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  <c:pt idx="7">
                  <c:v>210</c:v>
                </c:pt>
                <c:pt idx="8">
                  <c:v>240</c:v>
                </c:pt>
                <c:pt idx="9">
                  <c:v>270</c:v>
                </c:pt>
                <c:pt idx="10">
                  <c:v>300</c:v>
                </c:pt>
                <c:pt idx="11">
                  <c:v>330</c:v>
                </c:pt>
                <c:pt idx="12">
                  <c:v>360</c:v>
                </c:pt>
                <c:pt idx="13">
                  <c:v>390</c:v>
                </c:pt>
                <c:pt idx="14">
                  <c:v>420</c:v>
                </c:pt>
                <c:pt idx="15">
                  <c:v>450</c:v>
                </c:pt>
                <c:pt idx="16">
                  <c:v>480</c:v>
                </c:pt>
              </c:numCache>
            </c:numRef>
          </c:xVal>
          <c:yVal>
            <c:numRef>
              <c:f>'Single pass'!$I$69:$I$85</c:f>
              <c:numCache>
                <c:formatCode>General</c:formatCode>
                <c:ptCount val="17"/>
                <c:pt idx="0">
                  <c:v>14.561987991824479</c:v>
                </c:pt>
                <c:pt idx="1">
                  <c:v>15.201509158948751</c:v>
                </c:pt>
                <c:pt idx="2">
                  <c:v>15.278633249323276</c:v>
                </c:pt>
                <c:pt idx="3">
                  <c:v>15.435020763877086</c:v>
                </c:pt>
                <c:pt idx="4">
                  <c:v>15.763306862517545</c:v>
                </c:pt>
                <c:pt idx="5">
                  <c:v>15.552758444196503</c:v>
                </c:pt>
                <c:pt idx="6">
                  <c:v>15.839610143951395</c:v>
                </c:pt>
                <c:pt idx="7">
                  <c:v>17.163235078089805</c:v>
                </c:pt>
                <c:pt idx="8">
                  <c:v>17.19773806662598</c:v>
                </c:pt>
                <c:pt idx="9">
                  <c:v>17.226024899338331</c:v>
                </c:pt>
                <c:pt idx="10">
                  <c:v>17.268093959010667</c:v>
                </c:pt>
                <c:pt idx="11">
                  <c:v>17.302096490097661</c:v>
                </c:pt>
                <c:pt idx="12">
                  <c:v>17.219342899026024</c:v>
                </c:pt>
                <c:pt idx="13">
                  <c:v>18.780924309327276</c:v>
                </c:pt>
                <c:pt idx="14">
                  <c:v>18.375473687654495</c:v>
                </c:pt>
                <c:pt idx="15">
                  <c:v>19.432726269662474</c:v>
                </c:pt>
                <c:pt idx="16">
                  <c:v>25.462703950974984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3F-4154-8CDD-1234D52FA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041167"/>
        <c:axId val="1659042831"/>
      </c:scatterChart>
      <c:scatterChart>
        <c:scatterStyle val="lineMarker"/>
        <c:varyColors val="0"/>
        <c:ser>
          <c:idx val="5"/>
          <c:order val="3"/>
          <c:tx>
            <c:v>0.6M (cumulative CO2)</c:v>
          </c:tx>
          <c:spPr>
            <a:ln w="9525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pass'!$B$204:$M$204</c:f>
                <c:numCache>
                  <c:formatCode>General</c:formatCode>
                  <c:ptCount val="12"/>
                  <c:pt idx="0">
                    <c:v>5.635247187208563E-4</c:v>
                  </c:pt>
                  <c:pt idx="1">
                    <c:v>6.7176227788112693E-3</c:v>
                  </c:pt>
                  <c:pt idx="2">
                    <c:v>2.5751485197646522E-2</c:v>
                  </c:pt>
                  <c:pt idx="3">
                    <c:v>2.1304902301995002E-2</c:v>
                  </c:pt>
                  <c:pt idx="4">
                    <c:v>3.4726197849998766E-2</c:v>
                  </c:pt>
                  <c:pt idx="5">
                    <c:v>4.9187725736867458E-2</c:v>
                  </c:pt>
                  <c:pt idx="6">
                    <c:v>3.6534083467038271E-2</c:v>
                  </c:pt>
                  <c:pt idx="7">
                    <c:v>1.0553333502347446E-2</c:v>
                  </c:pt>
                  <c:pt idx="8">
                    <c:v>8.1698410282239731E-2</c:v>
                  </c:pt>
                  <c:pt idx="9">
                    <c:v>0.10095467380925893</c:v>
                  </c:pt>
                  <c:pt idx="10">
                    <c:v>0.1297506054412709</c:v>
                  </c:pt>
                  <c:pt idx="11">
                    <c:v>0.13232022593211143</c:v>
                  </c:pt>
                </c:numCache>
              </c:numRef>
            </c:plus>
            <c:minus>
              <c:numRef>
                <c:f>'Single pass'!$B$204:$M$204</c:f>
                <c:numCache>
                  <c:formatCode>General</c:formatCode>
                  <c:ptCount val="12"/>
                  <c:pt idx="0">
                    <c:v>5.635247187208563E-4</c:v>
                  </c:pt>
                  <c:pt idx="1">
                    <c:v>6.7176227788112693E-3</c:v>
                  </c:pt>
                  <c:pt idx="2">
                    <c:v>2.5751485197646522E-2</c:v>
                  </c:pt>
                  <c:pt idx="3">
                    <c:v>2.1304902301995002E-2</c:v>
                  </c:pt>
                  <c:pt idx="4">
                    <c:v>3.4726197849998766E-2</c:v>
                  </c:pt>
                  <c:pt idx="5">
                    <c:v>4.9187725736867458E-2</c:v>
                  </c:pt>
                  <c:pt idx="6">
                    <c:v>3.6534083467038271E-2</c:v>
                  </c:pt>
                  <c:pt idx="7">
                    <c:v>1.0553333502347446E-2</c:v>
                  </c:pt>
                  <c:pt idx="8">
                    <c:v>8.1698410282239731E-2</c:v>
                  </c:pt>
                  <c:pt idx="9">
                    <c:v>0.10095467380925893</c:v>
                  </c:pt>
                  <c:pt idx="10">
                    <c:v>0.1297506054412709</c:v>
                  </c:pt>
                  <c:pt idx="11">
                    <c:v>0.13232022593211143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pass'!$B$159:$B$170</c:f>
              <c:numCache>
                <c:formatCode>General</c:formatCode>
                <c:ptCount val="12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  <c:pt idx="7">
                  <c:v>240</c:v>
                </c:pt>
                <c:pt idx="8">
                  <c:v>360</c:v>
                </c:pt>
                <c:pt idx="9">
                  <c:v>480</c:v>
                </c:pt>
                <c:pt idx="10">
                  <c:v>600</c:v>
                </c:pt>
                <c:pt idx="11">
                  <c:v>720</c:v>
                </c:pt>
              </c:numCache>
            </c:numRef>
          </c:xVal>
          <c:yVal>
            <c:numRef>
              <c:f>'Single pass'!$E$159:$E$170</c:f>
              <c:numCache>
                <c:formatCode>General</c:formatCode>
                <c:ptCount val="12"/>
                <c:pt idx="0">
                  <c:v>1.0353691752635752E-2</c:v>
                </c:pt>
                <c:pt idx="1">
                  <c:v>0.33255758485808784</c:v>
                </c:pt>
                <c:pt idx="2">
                  <c:v>0.665228378287824</c:v>
                </c:pt>
                <c:pt idx="3">
                  <c:v>0.99729295034356391</c:v>
                </c:pt>
                <c:pt idx="4">
                  <c:v>1.3404189096980488</c:v>
                </c:pt>
                <c:pt idx="5">
                  <c:v>1.6871472119037221</c:v>
                </c:pt>
                <c:pt idx="6">
                  <c:v>2.0374462383429273</c:v>
                </c:pt>
                <c:pt idx="7">
                  <c:v>2.7382430288743249</c:v>
                </c:pt>
                <c:pt idx="8">
                  <c:v>4.2078942984163561</c:v>
                </c:pt>
                <c:pt idx="9">
                  <c:v>5.7032566732353391</c:v>
                </c:pt>
                <c:pt idx="10">
                  <c:v>7.2065983036811696</c:v>
                </c:pt>
                <c:pt idx="11">
                  <c:v>8.725132876324535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0A-455E-BE61-B4C4365A1ECB}"/>
            </c:ext>
          </c:extLst>
        </c:ser>
        <c:ser>
          <c:idx val="4"/>
          <c:order val="4"/>
          <c:tx>
            <c:v>2.3M (cumulative CO2)</c:v>
          </c:tx>
          <c:spPr>
            <a:ln w="9525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pass'!$B$205:$H$205</c:f>
                <c:numCache>
                  <c:formatCode>General</c:formatCode>
                  <c:ptCount val="7"/>
                  <c:pt idx="0">
                    <c:v>6.4431059928043185E-4</c:v>
                  </c:pt>
                  <c:pt idx="1">
                    <c:v>7.3081583386264189E-3</c:v>
                  </c:pt>
                  <c:pt idx="2">
                    <c:v>1.3905074194517086E-2</c:v>
                  </c:pt>
                  <c:pt idx="3">
                    <c:v>1.4652702215221461E-2</c:v>
                  </c:pt>
                  <c:pt idx="4">
                    <c:v>1.1071960201883856E-2</c:v>
                  </c:pt>
                  <c:pt idx="5">
                    <c:v>1.6658252606133923E-2</c:v>
                  </c:pt>
                  <c:pt idx="6">
                    <c:v>7.1490400493833539E-2</c:v>
                  </c:pt>
                </c:numCache>
              </c:numRef>
            </c:plus>
            <c:minus>
              <c:numRef>
                <c:f>'Single pass'!$B$205:$H$205</c:f>
                <c:numCache>
                  <c:formatCode>General</c:formatCode>
                  <c:ptCount val="7"/>
                  <c:pt idx="0">
                    <c:v>6.4431059928043185E-4</c:v>
                  </c:pt>
                  <c:pt idx="1">
                    <c:v>7.3081583386264189E-3</c:v>
                  </c:pt>
                  <c:pt idx="2">
                    <c:v>1.3905074194517086E-2</c:v>
                  </c:pt>
                  <c:pt idx="3">
                    <c:v>1.4652702215221461E-2</c:v>
                  </c:pt>
                  <c:pt idx="4">
                    <c:v>1.1071960201883856E-2</c:v>
                  </c:pt>
                  <c:pt idx="5">
                    <c:v>1.6658252606133923E-2</c:v>
                  </c:pt>
                  <c:pt idx="6">
                    <c:v>7.1490400493833539E-2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pass'!$B$159:$B$165</c:f>
              <c:numCache>
                <c:formatCode>General</c:formatCode>
                <c:ptCount val="7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</c:numCache>
            </c:numRef>
          </c:xVal>
          <c:yVal>
            <c:numRef>
              <c:f>'Single pass'!$F$159:$F$165</c:f>
              <c:numCache>
                <c:formatCode>General</c:formatCode>
                <c:ptCount val="7"/>
                <c:pt idx="0">
                  <c:v>4.2611083001830322E-2</c:v>
                </c:pt>
                <c:pt idx="1">
                  <c:v>1.3142049288820399</c:v>
                </c:pt>
                <c:pt idx="2">
                  <c:v>2.6281114838062485</c:v>
                </c:pt>
                <c:pt idx="3">
                  <c:v>3.9751213337043558</c:v>
                </c:pt>
                <c:pt idx="4">
                  <c:v>5.3661920554235598</c:v>
                </c:pt>
                <c:pt idx="5">
                  <c:v>6.8540289985461396</c:v>
                </c:pt>
                <c:pt idx="6">
                  <c:v>8.501185149121028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D0A-455E-BE61-B4C4365A1ECB}"/>
            </c:ext>
          </c:extLst>
        </c:ser>
        <c:ser>
          <c:idx val="3"/>
          <c:order val="5"/>
          <c:tx>
            <c:v>3M (cumulative CO2)</c:v>
          </c:tx>
          <c:spPr>
            <a:ln w="9525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pass'!$B$206:$K$206</c:f>
                <c:numCache>
                  <c:formatCode>General</c:formatCode>
                  <c:ptCount val="10"/>
                  <c:pt idx="0">
                    <c:v>5.9427568441488047E-4</c:v>
                  </c:pt>
                  <c:pt idx="1">
                    <c:v>6.0462903344771527E-3</c:v>
                  </c:pt>
                  <c:pt idx="2">
                    <c:v>5.592957772800387E-3</c:v>
                  </c:pt>
                  <c:pt idx="3">
                    <c:v>1.1483321335885822E-2</c:v>
                  </c:pt>
                  <c:pt idx="4">
                    <c:v>2.6527230845544085E-2</c:v>
                  </c:pt>
                  <c:pt idx="5">
                    <c:v>3.3281918150464954E-2</c:v>
                  </c:pt>
                  <c:pt idx="6">
                    <c:v>3.4465559417095191E-2</c:v>
                  </c:pt>
                  <c:pt idx="7">
                    <c:v>4.455689848193161E-2</c:v>
                  </c:pt>
                  <c:pt idx="8">
                    <c:v>8.4304905318905485E-2</c:v>
                  </c:pt>
                  <c:pt idx="9">
                    <c:v>0.16128434644784043</c:v>
                  </c:pt>
                </c:numCache>
              </c:numRef>
            </c:plus>
            <c:minus>
              <c:numRef>
                <c:f>'Single pass'!$B$206:$K$206</c:f>
                <c:numCache>
                  <c:formatCode>General</c:formatCode>
                  <c:ptCount val="10"/>
                  <c:pt idx="0">
                    <c:v>5.9427568441488047E-4</c:v>
                  </c:pt>
                  <c:pt idx="1">
                    <c:v>6.0462903344771527E-3</c:v>
                  </c:pt>
                  <c:pt idx="2">
                    <c:v>5.592957772800387E-3</c:v>
                  </c:pt>
                  <c:pt idx="3">
                    <c:v>1.1483321335885822E-2</c:v>
                  </c:pt>
                  <c:pt idx="4">
                    <c:v>2.6527230845544085E-2</c:v>
                  </c:pt>
                  <c:pt idx="5">
                    <c:v>3.3281918150464954E-2</c:v>
                  </c:pt>
                  <c:pt idx="6">
                    <c:v>3.4465559417095191E-2</c:v>
                  </c:pt>
                  <c:pt idx="7">
                    <c:v>4.455689848193161E-2</c:v>
                  </c:pt>
                  <c:pt idx="8">
                    <c:v>8.4304905318905485E-2</c:v>
                  </c:pt>
                  <c:pt idx="9">
                    <c:v>0.16128434644784043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pass'!$B$159:$B$168</c:f>
              <c:numCache>
                <c:formatCode>General</c:formatCode>
                <c:ptCount val="10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  <c:pt idx="7">
                  <c:v>240</c:v>
                </c:pt>
                <c:pt idx="8">
                  <c:v>360</c:v>
                </c:pt>
                <c:pt idx="9">
                  <c:v>480</c:v>
                </c:pt>
              </c:numCache>
            </c:numRef>
          </c:xVal>
          <c:yVal>
            <c:numRef>
              <c:f>'Single pass'!$G$159:$G$168</c:f>
              <c:numCache>
                <c:formatCode>General</c:formatCode>
                <c:ptCount val="10"/>
                <c:pt idx="0">
                  <c:v>5.5544470842055327E-2</c:v>
                </c:pt>
                <c:pt idx="1">
                  <c:v>1.7370754334102776</c:v>
                </c:pt>
                <c:pt idx="2">
                  <c:v>3.4854155628622738</c:v>
                </c:pt>
                <c:pt idx="3">
                  <c:v>5.2516511783160542</c:v>
                </c:pt>
                <c:pt idx="4">
                  <c:v>7.0554527036799888</c:v>
                </c:pt>
                <c:pt idx="5">
                  <c:v>8.8351610891055312</c:v>
                </c:pt>
                <c:pt idx="6">
                  <c:v>10.647694029561556</c:v>
                </c:pt>
                <c:pt idx="7">
                  <c:v>14.579633965261616</c:v>
                </c:pt>
                <c:pt idx="8">
                  <c:v>22.477111970758774</c:v>
                </c:pt>
                <c:pt idx="9">
                  <c:v>31.866335576484058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0A-455E-BE61-B4C4365A1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81375"/>
        <c:axId val="946283455"/>
      </c:scatterChart>
      <c:valAx>
        <c:axId val="1659041167"/>
        <c:scaling>
          <c:orientation val="minMax"/>
          <c:max val="8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Time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(minute</a:t>
                </a:r>
                <a:r>
                  <a:rPr lang="en-GB">
                    <a:solidFill>
                      <a:sysClr val="windowText" lastClr="000000"/>
                    </a:solidFill>
                  </a:rPr>
                  <a:t>s)</a:t>
                </a:r>
              </a:p>
            </c:rich>
          </c:tx>
          <c:layout>
            <c:manualLayout>
              <c:xMode val="edge"/>
              <c:yMode val="edge"/>
              <c:x val="0.4643602581008987"/>
              <c:y val="0.936372115129292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9042831"/>
        <c:crosses val="autoZero"/>
        <c:crossBetween val="midCat"/>
      </c:valAx>
      <c:valAx>
        <c:axId val="1659042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CO</a:t>
                </a:r>
                <a:r>
                  <a:rPr lang="en-GB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GB">
                    <a:solidFill>
                      <a:sysClr val="windowText" lastClr="000000"/>
                    </a:solidFill>
                  </a:rPr>
                  <a:t> Flux (x10</a:t>
                </a:r>
                <a:r>
                  <a:rPr lang="en-GB" baseline="30000">
                    <a:solidFill>
                      <a:sysClr val="windowText" lastClr="000000"/>
                    </a:solidFill>
                  </a:rPr>
                  <a:t>-3</a:t>
                </a:r>
                <a:r>
                  <a:rPr lang="en-GB">
                    <a:solidFill>
                      <a:sysClr val="windowText" lastClr="000000"/>
                    </a:solidFill>
                  </a:rPr>
                  <a:t> Mol CO</a:t>
                </a:r>
                <a:r>
                  <a:rPr lang="en-GB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m</a:t>
                </a:r>
                <a:r>
                  <a:rPr lang="en-GB" baseline="30000">
                    <a:solidFill>
                      <a:sysClr val="windowText" lastClr="000000"/>
                    </a:solidFill>
                  </a:rPr>
                  <a:t>-2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s</a:t>
                </a:r>
                <a:r>
                  <a:rPr lang="en-GB" baseline="30000">
                    <a:solidFill>
                      <a:sysClr val="windowText" lastClr="000000"/>
                    </a:solidFill>
                  </a:rPr>
                  <a:t>-1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)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9471689256667167E-2"/>
              <c:y val="0.363896264095111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9041167"/>
        <c:crosses val="autoZero"/>
        <c:crossBetween val="midCat"/>
      </c:valAx>
      <c:valAx>
        <c:axId val="94628345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Cumulative CO</a:t>
                </a:r>
                <a:r>
                  <a:rPr lang="en-GB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GB">
                    <a:solidFill>
                      <a:sysClr val="windowText" lastClr="000000"/>
                    </a:solidFill>
                  </a:rPr>
                  <a:t> absorbed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(g)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96188550168233233"/>
              <c:y val="0.355095717823808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281375"/>
        <c:crosses val="max"/>
        <c:crossBetween val="midCat"/>
      </c:valAx>
      <c:valAx>
        <c:axId val="9462813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6283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6353300755299553E-2"/>
          <c:y val="4.7383411020206184E-2"/>
          <c:w val="0.16666061968401591"/>
          <c:h val="0.21205504825594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Qg=60ml/min; VOL liq=100ml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77E-2"/>
          <c:y val="0.10702295599707133"/>
          <c:w val="0.78813719181362629"/>
          <c:h val="0.71952231368613961"/>
        </c:manualLayout>
      </c:layout>
      <c:scatterChart>
        <c:scatterStyle val="lineMarker"/>
        <c:varyColors val="0"/>
        <c:ser>
          <c:idx val="4"/>
          <c:order val="0"/>
          <c:tx>
            <c:v>NH3 3M 2/12/15</c:v>
          </c:tx>
          <c:spPr>
            <a:ln w="28575">
              <a:noFill/>
            </a:ln>
          </c:spPr>
          <c:xVal>
            <c:numRef>
              <c:f>Sheet1!$AS$35:$AS$42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2.1666666666666665</c:v>
                </c:pt>
                <c:pt idx="7">
                  <c:v>19</c:v>
                </c:pt>
              </c:numCache>
            </c:numRef>
          </c:xVal>
          <c:yVal>
            <c:numRef>
              <c:f>Sheet1!$AX$35:$AX$42</c:f>
              <c:numCache>
                <c:formatCode>General</c:formatCode>
                <c:ptCount val="8"/>
                <c:pt idx="0">
                  <c:v>18.900163772979692</c:v>
                </c:pt>
                <c:pt idx="1">
                  <c:v>17.641467016794451</c:v>
                </c:pt>
                <c:pt idx="2">
                  <c:v>14.603194294466688</c:v>
                </c:pt>
                <c:pt idx="3">
                  <c:v>11.041130237871501</c:v>
                </c:pt>
                <c:pt idx="4">
                  <c:v>7.8168149707527643</c:v>
                </c:pt>
                <c:pt idx="5">
                  <c:v>6.07040886481815</c:v>
                </c:pt>
                <c:pt idx="6">
                  <c:v>5.2414528537374485</c:v>
                </c:pt>
                <c:pt idx="7">
                  <c:v>2.272522817232034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B3-4FCC-8782-74291303CE6D}"/>
            </c:ext>
          </c:extLst>
        </c:ser>
        <c:ser>
          <c:idx val="0"/>
          <c:order val="1"/>
          <c:tx>
            <c:v>NH3 3M 1/12/15</c:v>
          </c:tx>
          <c:spPr>
            <a:ln w="28575">
              <a:noFill/>
            </a:ln>
          </c:spPr>
          <c:xVal>
            <c:numRef>
              <c:f>Sheet1!$AZ$35:$AZ$41</c:f>
              <c:numCache>
                <c:formatCode>General</c:formatCode>
                <c:ptCount val="7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0.5</c:v>
                </c:pt>
                <c:pt idx="4">
                  <c:v>0.66666666666666663</c:v>
                </c:pt>
                <c:pt idx="5">
                  <c:v>1</c:v>
                </c:pt>
                <c:pt idx="6">
                  <c:v>1.3333333333333333</c:v>
                </c:pt>
              </c:numCache>
            </c:numRef>
          </c:xVal>
          <c:yVal>
            <c:numRef>
              <c:f>Sheet1!$BE$35:$BE$41</c:f>
              <c:numCache>
                <c:formatCode>General</c:formatCode>
                <c:ptCount val="7"/>
                <c:pt idx="0">
                  <c:v>15.415092243249081</c:v>
                </c:pt>
                <c:pt idx="1">
                  <c:v>15.146461416347687</c:v>
                </c:pt>
                <c:pt idx="2">
                  <c:v>13.296446789889815</c:v>
                </c:pt>
                <c:pt idx="3">
                  <c:v>11.613020523454576</c:v>
                </c:pt>
                <c:pt idx="4">
                  <c:v>10.562079760992489</c:v>
                </c:pt>
                <c:pt idx="5">
                  <c:v>8.6038370025164816</c:v>
                </c:pt>
                <c:pt idx="6">
                  <c:v>6.8362494781767147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B3-4FCC-8782-74291303CE6D}"/>
            </c:ext>
          </c:extLst>
        </c:ser>
        <c:ser>
          <c:idx val="1"/>
          <c:order val="2"/>
          <c:tx>
            <c:v>NH3 3M 4/12/15</c:v>
          </c:tx>
          <c:spPr>
            <a:ln w="28575">
              <a:noFill/>
            </a:ln>
          </c:spPr>
          <c:xVal>
            <c:numRef>
              <c:f>Sheet1!$BG$35:$BG$42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2.5</c:v>
                </c:pt>
              </c:numCache>
            </c:numRef>
          </c:xVal>
          <c:yVal>
            <c:numRef>
              <c:f>Sheet1!$BL$35:$BL$42</c:f>
              <c:numCache>
                <c:formatCode>General</c:formatCode>
                <c:ptCount val="8"/>
                <c:pt idx="0">
                  <c:v>16.544777126528505</c:v>
                </c:pt>
                <c:pt idx="1">
                  <c:v>14.341057235218518</c:v>
                </c:pt>
                <c:pt idx="2">
                  <c:v>12.940285874907138</c:v>
                </c:pt>
                <c:pt idx="3">
                  <c:v>10.179944099245175</c:v>
                </c:pt>
                <c:pt idx="4">
                  <c:v>8.1062314151035846</c:v>
                </c:pt>
                <c:pt idx="5">
                  <c:v>6.4014247061282106</c:v>
                </c:pt>
                <c:pt idx="6">
                  <c:v>4.1714409308151872</c:v>
                </c:pt>
                <c:pt idx="7">
                  <c:v>4.0664373920876269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B3-4FCC-8782-74291303CE6D}"/>
            </c:ext>
          </c:extLst>
        </c:ser>
        <c:ser>
          <c:idx val="2"/>
          <c:order val="3"/>
          <c:tx>
            <c:v>NH3 3M 5/12/15</c:v>
          </c:tx>
          <c:spPr>
            <a:ln w="28575">
              <a:noFill/>
            </a:ln>
          </c:spPr>
          <c:xVal>
            <c:numRef>
              <c:f>Sheet1!$BN$35:$BN$43</c:f>
              <c:numCache>
                <c:formatCode>General</c:formatCode>
                <c:ptCount val="9"/>
                <c:pt idx="0">
                  <c:v>1.6666666666666666E-2</c:v>
                </c:pt>
                <c:pt idx="1">
                  <c:v>0.16666666666666666</c:v>
                </c:pt>
                <c:pt idx="2">
                  <c:v>0.5</c:v>
                </c:pt>
                <c:pt idx="3">
                  <c:v>0.83333333333333337</c:v>
                </c:pt>
                <c:pt idx="4">
                  <c:v>1.3333333333333333</c:v>
                </c:pt>
                <c:pt idx="5">
                  <c:v>1.8333333333333333</c:v>
                </c:pt>
                <c:pt idx="6">
                  <c:v>2.3333333333333335</c:v>
                </c:pt>
                <c:pt idx="7">
                  <c:v>3</c:v>
                </c:pt>
                <c:pt idx="8">
                  <c:v>4.25</c:v>
                </c:pt>
              </c:numCache>
            </c:numRef>
          </c:xVal>
          <c:yVal>
            <c:numRef>
              <c:f>Sheet1!$BS$35:$BS$43</c:f>
              <c:numCache>
                <c:formatCode>General</c:formatCode>
                <c:ptCount val="9"/>
                <c:pt idx="0">
                  <c:v>17.426447563790319</c:v>
                </c:pt>
                <c:pt idx="1">
                  <c:v>15.515984911619588</c:v>
                </c:pt>
                <c:pt idx="2">
                  <c:v>12.001264633383139</c:v>
                </c:pt>
                <c:pt idx="3">
                  <c:v>9.3832679475045939</c:v>
                </c:pt>
                <c:pt idx="4">
                  <c:v>6.6058028525170522</c:v>
                </c:pt>
                <c:pt idx="5">
                  <c:v>4.4821025967010915</c:v>
                </c:pt>
                <c:pt idx="6">
                  <c:v>3.9156571514091172</c:v>
                </c:pt>
                <c:pt idx="7">
                  <c:v>2.8578655044690113</c:v>
                </c:pt>
                <c:pt idx="8">
                  <c:v>2.9502196331725696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B3-4FCC-8782-74291303CE6D}"/>
            </c:ext>
          </c:extLst>
        </c:ser>
        <c:ser>
          <c:idx val="3"/>
          <c:order val="4"/>
          <c:tx>
            <c:v>NH3 2.8M 6/12/15</c:v>
          </c:tx>
          <c:spPr>
            <a:ln w="28575">
              <a:noFill/>
            </a:ln>
          </c:spPr>
          <c:xVal>
            <c:numRef>
              <c:f>Sheet1!$BU$35:$BU$42</c:f>
              <c:numCache>
                <c:formatCode>General</c:formatCode>
                <c:ptCount val="8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2.1666666666666665</c:v>
                </c:pt>
                <c:pt idx="7">
                  <c:v>3</c:v>
                </c:pt>
              </c:numCache>
            </c:numRef>
          </c:xVal>
          <c:yVal>
            <c:numRef>
              <c:f>Sheet1!$BZ$35:$BZ$42</c:f>
              <c:numCache>
                <c:formatCode>General</c:formatCode>
                <c:ptCount val="8"/>
                <c:pt idx="0">
                  <c:v>16.021212615006078</c:v>
                </c:pt>
                <c:pt idx="1">
                  <c:v>15.372023888412247</c:v>
                </c:pt>
                <c:pt idx="2">
                  <c:v>12.741311623895809</c:v>
                </c:pt>
                <c:pt idx="3">
                  <c:v>9.9640167804956921</c:v>
                </c:pt>
                <c:pt idx="4">
                  <c:v>6.7314966045899789</c:v>
                </c:pt>
                <c:pt idx="5">
                  <c:v>4.8432578236465842</c:v>
                </c:pt>
                <c:pt idx="6">
                  <c:v>3.7201662356767708</c:v>
                </c:pt>
                <c:pt idx="7">
                  <c:v>3.7983101487555739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B3-4FCC-8782-74291303CE6D}"/>
            </c:ext>
          </c:extLst>
        </c:ser>
        <c:ser>
          <c:idx val="5"/>
          <c:order val="5"/>
          <c:tx>
            <c:v>NH3 3M 7/12/15 upside down</c:v>
          </c:tx>
          <c:spPr>
            <a:ln w="28575">
              <a:noFill/>
            </a:ln>
          </c:spPr>
          <c:xVal>
            <c:numRef>
              <c:f>Sheet1!$CB$35:$CB$46</c:f>
              <c:numCache>
                <c:formatCode>General</c:formatCode>
                <c:ptCount val="12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4.666666666666667</c:v>
                </c:pt>
                <c:pt idx="7">
                  <c:v>18.666666666666668</c:v>
                </c:pt>
                <c:pt idx="8">
                  <c:v>23.666666666666668</c:v>
                </c:pt>
                <c:pt idx="9">
                  <c:v>25.666666666666668</c:v>
                </c:pt>
                <c:pt idx="10">
                  <c:v>40.916666666666664</c:v>
                </c:pt>
                <c:pt idx="11">
                  <c:v>49.416666666666664</c:v>
                </c:pt>
              </c:numCache>
            </c:numRef>
          </c:xVal>
          <c:yVal>
            <c:numRef>
              <c:f>Sheet1!$CG$35:$CG$46</c:f>
              <c:numCache>
                <c:formatCode>General</c:formatCode>
                <c:ptCount val="12"/>
                <c:pt idx="0">
                  <c:v>16.088196615119717</c:v>
                </c:pt>
                <c:pt idx="1">
                  <c:v>15.009183882567346</c:v>
                </c:pt>
                <c:pt idx="2">
                  <c:v>13.129267129928513</c:v>
                </c:pt>
                <c:pt idx="3">
                  <c:v>10.108973891127574</c:v>
                </c:pt>
                <c:pt idx="4">
                  <c:v>7.1512692326672695</c:v>
                </c:pt>
                <c:pt idx="5">
                  <c:v>5.3272690606243431</c:v>
                </c:pt>
                <c:pt idx="6">
                  <c:v>3.0272996891063269</c:v>
                </c:pt>
                <c:pt idx="7">
                  <c:v>1.7869049668736712</c:v>
                </c:pt>
                <c:pt idx="8">
                  <c:v>1.2150457532090406</c:v>
                </c:pt>
                <c:pt idx="9">
                  <c:v>1.1511963453092147</c:v>
                </c:pt>
                <c:pt idx="10">
                  <c:v>1.0977627875989922</c:v>
                </c:pt>
                <c:pt idx="11">
                  <c:v>0.82201441254584584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B3-4FCC-8782-74291303C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60864"/>
        <c:axId val="113067136"/>
      </c:scatterChart>
      <c:valAx>
        <c:axId val="11306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/>
                  <a:t>time</a:t>
                </a:r>
                <a:r>
                  <a:rPr lang="en-GB" sz="1500" baseline="0"/>
                  <a:t> (hours)</a:t>
                </a:r>
                <a:endParaRPr lang="en-GB" sz="15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067136"/>
        <c:crosses val="autoZero"/>
        <c:crossBetween val="midCat"/>
      </c:valAx>
      <c:valAx>
        <c:axId val="1130671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JCO2 (*10^3molCO2/m2*s)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060864"/>
        <c:crosses val="autoZero"/>
        <c:crossBetween val="midCat"/>
        <c:majorUnit val="2"/>
        <c:minorUnit val="4.0000000000000015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525495397405694E-2"/>
          <c:y val="1.8418605190803301E-2"/>
          <c:w val="0.87337513517974397"/>
          <c:h val="0.87910987376992844"/>
        </c:manualLayout>
      </c:layout>
      <c:scatterChart>
        <c:scatterStyle val="lineMarker"/>
        <c:varyColors val="0"/>
        <c:ser>
          <c:idx val="0"/>
          <c:order val="0"/>
          <c:tx>
            <c:v>0.6M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3818779215354438E-2"/>
                  <c:y val="-3.148007095846687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CO</a:t>
                    </a:r>
                    <a:r>
                      <a:rPr lang="en-US" baseline="-25000"/>
                      <a:t>2</a:t>
                    </a:r>
                    <a:r>
                      <a:rPr lang="en-US" baseline="0"/>
                      <a:t> flux = 0.0007t + 2.871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'Single pass'!$DZ$5:$DZ$16</c:f>
                <c:numCache>
                  <c:formatCode>General</c:formatCode>
                  <c:ptCount val="12"/>
                  <c:pt idx="0">
                    <c:v>0.14773820080929079</c:v>
                  </c:pt>
                  <c:pt idx="1">
                    <c:v>5.8050547834789003E-2</c:v>
                  </c:pt>
                  <c:pt idx="2">
                    <c:v>0.21168376000138664</c:v>
                  </c:pt>
                  <c:pt idx="3">
                    <c:v>6.492680391966911E-2</c:v>
                  </c:pt>
                  <c:pt idx="4">
                    <c:v>0.20169939254351021</c:v>
                  </c:pt>
                  <c:pt idx="5">
                    <c:v>0.14077418831030339</c:v>
                  </c:pt>
                  <c:pt idx="6">
                    <c:v>0.12931018157328164</c:v>
                  </c:pt>
                  <c:pt idx="7">
                    <c:v>0.12473008545349082</c:v>
                  </c:pt>
                  <c:pt idx="8">
                    <c:v>0.16532203739900023</c:v>
                  </c:pt>
                  <c:pt idx="9">
                    <c:v>0.11541740587211259</c:v>
                  </c:pt>
                  <c:pt idx="10">
                    <c:v>0.11147529596868626</c:v>
                  </c:pt>
                  <c:pt idx="11">
                    <c:v>8.0631463206817147E-2</c:v>
                  </c:pt>
                </c:numCache>
              </c:numRef>
            </c:plus>
            <c:minus>
              <c:numRef>
                <c:f>'Single pass'!$DZ$5:$DZ$16</c:f>
                <c:numCache>
                  <c:formatCode>General</c:formatCode>
                  <c:ptCount val="12"/>
                  <c:pt idx="0">
                    <c:v>0.14773820080929079</c:v>
                  </c:pt>
                  <c:pt idx="1">
                    <c:v>5.8050547834789003E-2</c:v>
                  </c:pt>
                  <c:pt idx="2">
                    <c:v>0.21168376000138664</c:v>
                  </c:pt>
                  <c:pt idx="3">
                    <c:v>6.492680391966911E-2</c:v>
                  </c:pt>
                  <c:pt idx="4">
                    <c:v>0.20169939254351021</c:v>
                  </c:pt>
                  <c:pt idx="5">
                    <c:v>0.14077418831030339</c:v>
                  </c:pt>
                  <c:pt idx="6">
                    <c:v>0.12931018157328164</c:v>
                  </c:pt>
                  <c:pt idx="7">
                    <c:v>0.12473008545349082</c:v>
                  </c:pt>
                  <c:pt idx="8">
                    <c:v>0.16532203739900023</c:v>
                  </c:pt>
                  <c:pt idx="9">
                    <c:v>0.11541740587211259</c:v>
                  </c:pt>
                  <c:pt idx="10">
                    <c:v>0.11147529596868626</c:v>
                  </c:pt>
                  <c:pt idx="11">
                    <c:v>8.0631463206817147E-2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pass'!$DB$69:$DB$75</c:f>
              <c:numCache>
                <c:formatCode>0</c:formatCode>
                <c:ptCount val="7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</c:numCache>
            </c:numRef>
          </c:xVal>
          <c:yVal>
            <c:numRef>
              <c:f>'Single pass'!$DI$69:$DI$75</c:f>
              <c:numCache>
                <c:formatCode>General</c:formatCode>
                <c:ptCount val="7"/>
                <c:pt idx="0">
                  <c:v>2.7144076212672936</c:v>
                </c:pt>
                <c:pt idx="1">
                  <c:v>2.9128131096740093</c:v>
                </c:pt>
                <c:pt idx="2">
                  <c:v>2.9071889159047539</c:v>
                </c:pt>
                <c:pt idx="3">
                  <c:v>2.9018911858548835</c:v>
                </c:pt>
                <c:pt idx="4">
                  <c:v>2.9985559462863787</c:v>
                </c:pt>
                <c:pt idx="5">
                  <c:v>3.0300365914620304</c:v>
                </c:pt>
                <c:pt idx="6">
                  <c:v>3.0612409235479778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7B-40F9-850D-12662ADDE124}"/>
            </c:ext>
          </c:extLst>
        </c:ser>
        <c:ser>
          <c:idx val="1"/>
          <c:order val="1"/>
          <c:tx>
            <c:v>2.3M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2.1147480531875664E-3"/>
                  <c:y val="-9.8494966610186384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CO</a:t>
                    </a:r>
                    <a:r>
                      <a:rPr lang="en-US" baseline="-25000"/>
                      <a:t>2</a:t>
                    </a:r>
                    <a:r>
                      <a:rPr lang="en-US" baseline="0"/>
                      <a:t> flux = 0.004t + 12.143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'Single pass'!$CQ$5:$CQ$11</c:f>
                <c:numCache>
                  <c:formatCode>General</c:formatCode>
                  <c:ptCount val="7"/>
                  <c:pt idx="0">
                    <c:v>0.16891768104887631</c:v>
                  </c:pt>
                  <c:pt idx="1">
                    <c:v>6.8868264017693678E-2</c:v>
                  </c:pt>
                  <c:pt idx="2">
                    <c:v>6.1610016112314973E-2</c:v>
                  </c:pt>
                  <c:pt idx="3">
                    <c:v>4.1730384789107615E-2</c:v>
                  </c:pt>
                  <c:pt idx="4">
                    <c:v>8.9176854764611194E-2</c:v>
                  </c:pt>
                  <c:pt idx="5">
                    <c:v>6.4331280033373101E-2</c:v>
                  </c:pt>
                  <c:pt idx="6">
                    <c:v>0.73827396969809855</c:v>
                  </c:pt>
                </c:numCache>
              </c:numRef>
            </c:plus>
            <c:minus>
              <c:numRef>
                <c:f>'Single pass'!$CQ$5:$CQ$11</c:f>
                <c:numCache>
                  <c:formatCode>General</c:formatCode>
                  <c:ptCount val="7"/>
                  <c:pt idx="0">
                    <c:v>0.16891768104887631</c:v>
                  </c:pt>
                  <c:pt idx="1">
                    <c:v>6.8868264017693678E-2</c:v>
                  </c:pt>
                  <c:pt idx="2">
                    <c:v>6.1610016112314973E-2</c:v>
                  </c:pt>
                  <c:pt idx="3">
                    <c:v>4.1730384789107615E-2</c:v>
                  </c:pt>
                  <c:pt idx="4">
                    <c:v>8.9176854764611194E-2</c:v>
                  </c:pt>
                  <c:pt idx="5">
                    <c:v>6.4331280033373101E-2</c:v>
                  </c:pt>
                  <c:pt idx="6">
                    <c:v>0.73827396969809855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pass'!$AK$69:$AK$74</c:f>
              <c:numCache>
                <c:formatCode>0</c:formatCode>
                <c:ptCount val="6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180</c:v>
                </c:pt>
              </c:numCache>
            </c:numRef>
          </c:xVal>
          <c:yVal>
            <c:numRef>
              <c:f>'Single pass'!$AR$69:$AR$74</c:f>
              <c:numCache>
                <c:formatCode>General</c:formatCode>
                <c:ptCount val="6"/>
                <c:pt idx="0">
                  <c:v>11.901930722154283</c:v>
                </c:pt>
                <c:pt idx="1">
                  <c:v>12.474088166443396</c:v>
                </c:pt>
                <c:pt idx="2">
                  <c:v>12.503445913946326</c:v>
                </c:pt>
                <c:pt idx="3">
                  <c:v>12.514557993150236</c:v>
                </c:pt>
                <c:pt idx="4">
                  <c:v>12.566456034119373</c:v>
                </c:pt>
                <c:pt idx="5">
                  <c:v>12.818258501133753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7B-40F9-850D-12662ADDE124}"/>
            </c:ext>
          </c:extLst>
        </c:ser>
        <c:ser>
          <c:idx val="2"/>
          <c:order val="2"/>
          <c:tx>
            <c:v>3M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pass'!$Z$5:$Z$21</c:f>
                <c:numCache>
                  <c:formatCode>General</c:formatCode>
                  <c:ptCount val="17"/>
                  <c:pt idx="0">
                    <c:v>0.15580012284013903</c:v>
                  </c:pt>
                  <c:pt idx="1">
                    <c:v>5.3983674894531125E-2</c:v>
                  </c:pt>
                  <c:pt idx="2">
                    <c:v>4.5999559287852015E-2</c:v>
                  </c:pt>
                  <c:pt idx="3">
                    <c:v>6.8005911930421645E-2</c:v>
                  </c:pt>
                  <c:pt idx="4">
                    <c:v>0.18017785839324194</c:v>
                  </c:pt>
                  <c:pt idx="5">
                    <c:v>7.9944660659003075E-2</c:v>
                  </c:pt>
                  <c:pt idx="6">
                    <c:v>0.1042349459298515</c:v>
                  </c:pt>
                  <c:pt idx="7">
                    <c:v>8.499914666852558E-2</c:v>
                  </c:pt>
                  <c:pt idx="8">
                    <c:v>3.6821674195974097E-2</c:v>
                  </c:pt>
                  <c:pt idx="9">
                    <c:v>0.26209843400920985</c:v>
                  </c:pt>
                  <c:pt idx="10">
                    <c:v>4.9289463714219897E-2</c:v>
                  </c:pt>
                  <c:pt idx="11">
                    <c:v>8.0456436111980473E-2</c:v>
                  </c:pt>
                  <c:pt idx="12">
                    <c:v>6.3229660017730477E-2</c:v>
                  </c:pt>
                  <c:pt idx="13">
                    <c:v>0.72257529343553584</c:v>
                  </c:pt>
                  <c:pt idx="14">
                    <c:v>0.22887980060542071</c:v>
                  </c:pt>
                  <c:pt idx="15">
                    <c:v>0.40885646292086542</c:v>
                  </c:pt>
                  <c:pt idx="16">
                    <c:v>0</c:v>
                  </c:pt>
                </c:numCache>
              </c:numRef>
            </c:plus>
            <c:minus>
              <c:numRef>
                <c:f>'Single pass'!$Z$5:$Z$21</c:f>
                <c:numCache>
                  <c:formatCode>General</c:formatCode>
                  <c:ptCount val="17"/>
                  <c:pt idx="0">
                    <c:v>0.15580012284013903</c:v>
                  </c:pt>
                  <c:pt idx="1">
                    <c:v>5.3983674894531125E-2</c:v>
                  </c:pt>
                  <c:pt idx="2">
                    <c:v>4.5999559287852015E-2</c:v>
                  </c:pt>
                  <c:pt idx="3">
                    <c:v>6.8005911930421645E-2</c:v>
                  </c:pt>
                  <c:pt idx="4">
                    <c:v>0.18017785839324194</c:v>
                  </c:pt>
                  <c:pt idx="5">
                    <c:v>7.9944660659003075E-2</c:v>
                  </c:pt>
                  <c:pt idx="6">
                    <c:v>0.1042349459298515</c:v>
                  </c:pt>
                  <c:pt idx="7">
                    <c:v>8.499914666852558E-2</c:v>
                  </c:pt>
                  <c:pt idx="8">
                    <c:v>3.6821674195974097E-2</c:v>
                  </c:pt>
                  <c:pt idx="9">
                    <c:v>0.26209843400920985</c:v>
                  </c:pt>
                  <c:pt idx="10">
                    <c:v>4.9289463714219897E-2</c:v>
                  </c:pt>
                  <c:pt idx="11">
                    <c:v>8.0456436111980473E-2</c:v>
                  </c:pt>
                  <c:pt idx="12">
                    <c:v>6.3229660017730477E-2</c:v>
                  </c:pt>
                  <c:pt idx="13">
                    <c:v>0.72257529343553584</c:v>
                  </c:pt>
                  <c:pt idx="14">
                    <c:v>0.22887980060542071</c:v>
                  </c:pt>
                  <c:pt idx="15">
                    <c:v>0.40885646292086542</c:v>
                  </c:pt>
                  <c:pt idx="16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pass'!$B$69:$B$85</c:f>
              <c:numCache>
                <c:formatCode>0</c:formatCode>
                <c:ptCount val="17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  <c:pt idx="7">
                  <c:v>210</c:v>
                </c:pt>
                <c:pt idx="8">
                  <c:v>240</c:v>
                </c:pt>
                <c:pt idx="9">
                  <c:v>270</c:v>
                </c:pt>
                <c:pt idx="10">
                  <c:v>300</c:v>
                </c:pt>
                <c:pt idx="11">
                  <c:v>330</c:v>
                </c:pt>
                <c:pt idx="12">
                  <c:v>360</c:v>
                </c:pt>
                <c:pt idx="13">
                  <c:v>390</c:v>
                </c:pt>
                <c:pt idx="14">
                  <c:v>420</c:v>
                </c:pt>
                <c:pt idx="15">
                  <c:v>450</c:v>
                </c:pt>
                <c:pt idx="16">
                  <c:v>480</c:v>
                </c:pt>
              </c:numCache>
            </c:numRef>
          </c:xVal>
          <c:yVal>
            <c:numRef>
              <c:f>'Single pass'!$I$69:$I$85</c:f>
              <c:numCache>
                <c:formatCode>General</c:formatCode>
                <c:ptCount val="17"/>
                <c:pt idx="0">
                  <c:v>14.561987991824479</c:v>
                </c:pt>
                <c:pt idx="1">
                  <c:v>15.201509158948751</c:v>
                </c:pt>
                <c:pt idx="2">
                  <c:v>15.278633249323276</c:v>
                </c:pt>
                <c:pt idx="3">
                  <c:v>15.435020763877086</c:v>
                </c:pt>
                <c:pt idx="4">
                  <c:v>15.763306862517545</c:v>
                </c:pt>
                <c:pt idx="5">
                  <c:v>15.552758444196503</c:v>
                </c:pt>
                <c:pt idx="6">
                  <c:v>15.839610143951395</c:v>
                </c:pt>
                <c:pt idx="7">
                  <c:v>17.163235078089805</c:v>
                </c:pt>
                <c:pt idx="8">
                  <c:v>17.19773806662598</c:v>
                </c:pt>
                <c:pt idx="9">
                  <c:v>17.226024899338331</c:v>
                </c:pt>
                <c:pt idx="10">
                  <c:v>17.268093959010667</c:v>
                </c:pt>
                <c:pt idx="11">
                  <c:v>17.302096490097661</c:v>
                </c:pt>
                <c:pt idx="12">
                  <c:v>17.219342899026024</c:v>
                </c:pt>
                <c:pt idx="13">
                  <c:v>18.780924309327276</c:v>
                </c:pt>
                <c:pt idx="14">
                  <c:v>18.375473687654495</c:v>
                </c:pt>
                <c:pt idx="15">
                  <c:v>19.432726269662474</c:v>
                </c:pt>
                <c:pt idx="16">
                  <c:v>25.462703950974984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7B-40F9-850D-12662ADDE124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9525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6.522461551810156E-3"/>
                  <c:y val="-1.5666965679922921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CO</a:t>
                    </a:r>
                    <a:r>
                      <a:rPr lang="en-US" baseline="-25000"/>
                      <a:t>2</a:t>
                    </a:r>
                    <a:r>
                      <a:rPr lang="en-US" baseline="0"/>
                      <a:t> flux = 0.006t + 14.836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'Single pass'!$B$69:$B$75</c:f>
              <c:numCache>
                <c:formatCode>0</c:formatCode>
                <c:ptCount val="7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</c:numCache>
            </c:numRef>
          </c:xVal>
          <c:yVal>
            <c:numRef>
              <c:f>'Single pass'!$L$69:$L$75</c:f>
              <c:numCache>
                <c:formatCode>General</c:formatCode>
                <c:ptCount val="7"/>
                <c:pt idx="0">
                  <c:v>14.842000000000001</c:v>
                </c:pt>
                <c:pt idx="1">
                  <c:v>15.016</c:v>
                </c:pt>
                <c:pt idx="2">
                  <c:v>15.196</c:v>
                </c:pt>
                <c:pt idx="3">
                  <c:v>15.376000000000001</c:v>
                </c:pt>
                <c:pt idx="4">
                  <c:v>15.556000000000001</c:v>
                </c:pt>
                <c:pt idx="5">
                  <c:v>15.736000000000001</c:v>
                </c:pt>
                <c:pt idx="6">
                  <c:v>15.916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27B-40F9-850D-12662ADDE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041167"/>
        <c:axId val="1659042831"/>
      </c:scatterChart>
      <c:scatterChart>
        <c:scatterStyle val="lineMarker"/>
        <c:varyColors val="0"/>
        <c:ser>
          <c:idx val="5"/>
          <c:order val="3"/>
          <c:tx>
            <c:v>0.6M (cumulative CO2)</c:v>
          </c:tx>
          <c:spPr>
            <a:ln w="9525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pass'!$B$204:$M$204</c:f>
                <c:numCache>
                  <c:formatCode>General</c:formatCode>
                  <c:ptCount val="12"/>
                  <c:pt idx="0">
                    <c:v>5.635247187208563E-4</c:v>
                  </c:pt>
                  <c:pt idx="1">
                    <c:v>6.7176227788112693E-3</c:v>
                  </c:pt>
                  <c:pt idx="2">
                    <c:v>2.5751485197646522E-2</c:v>
                  </c:pt>
                  <c:pt idx="3">
                    <c:v>2.1304902301995002E-2</c:v>
                  </c:pt>
                  <c:pt idx="4">
                    <c:v>3.4726197849998766E-2</c:v>
                  </c:pt>
                  <c:pt idx="5">
                    <c:v>4.9187725736867458E-2</c:v>
                  </c:pt>
                  <c:pt idx="6">
                    <c:v>3.6534083467038271E-2</c:v>
                  </c:pt>
                  <c:pt idx="7">
                    <c:v>1.0553333502347446E-2</c:v>
                  </c:pt>
                  <c:pt idx="8">
                    <c:v>8.1698410282239731E-2</c:v>
                  </c:pt>
                  <c:pt idx="9">
                    <c:v>0.10095467380925893</c:v>
                  </c:pt>
                  <c:pt idx="10">
                    <c:v>0.1297506054412709</c:v>
                  </c:pt>
                  <c:pt idx="11">
                    <c:v>0.13232022593211143</c:v>
                  </c:pt>
                </c:numCache>
              </c:numRef>
            </c:plus>
            <c:minus>
              <c:numRef>
                <c:f>'Single pass'!$B$204:$M$204</c:f>
                <c:numCache>
                  <c:formatCode>General</c:formatCode>
                  <c:ptCount val="12"/>
                  <c:pt idx="0">
                    <c:v>5.635247187208563E-4</c:v>
                  </c:pt>
                  <c:pt idx="1">
                    <c:v>6.7176227788112693E-3</c:v>
                  </c:pt>
                  <c:pt idx="2">
                    <c:v>2.5751485197646522E-2</c:v>
                  </c:pt>
                  <c:pt idx="3">
                    <c:v>2.1304902301995002E-2</c:v>
                  </c:pt>
                  <c:pt idx="4">
                    <c:v>3.4726197849998766E-2</c:v>
                  </c:pt>
                  <c:pt idx="5">
                    <c:v>4.9187725736867458E-2</c:v>
                  </c:pt>
                  <c:pt idx="6">
                    <c:v>3.6534083467038271E-2</c:v>
                  </c:pt>
                  <c:pt idx="7">
                    <c:v>1.0553333502347446E-2</c:v>
                  </c:pt>
                  <c:pt idx="8">
                    <c:v>8.1698410282239731E-2</c:v>
                  </c:pt>
                  <c:pt idx="9">
                    <c:v>0.10095467380925893</c:v>
                  </c:pt>
                  <c:pt idx="10">
                    <c:v>0.1297506054412709</c:v>
                  </c:pt>
                  <c:pt idx="11">
                    <c:v>0.13232022593211143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pass'!$B$159:$B$170</c:f>
              <c:numCache>
                <c:formatCode>General</c:formatCode>
                <c:ptCount val="12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  <c:pt idx="7">
                  <c:v>240</c:v>
                </c:pt>
                <c:pt idx="8">
                  <c:v>360</c:v>
                </c:pt>
                <c:pt idx="9">
                  <c:v>480</c:v>
                </c:pt>
                <c:pt idx="10">
                  <c:v>600</c:v>
                </c:pt>
                <c:pt idx="11">
                  <c:v>720</c:v>
                </c:pt>
              </c:numCache>
            </c:numRef>
          </c:xVal>
          <c:yVal>
            <c:numRef>
              <c:f>'Single pass'!$E$159:$E$165</c:f>
              <c:numCache>
                <c:formatCode>General</c:formatCode>
                <c:ptCount val="7"/>
                <c:pt idx="0">
                  <c:v>1.0353691752635752E-2</c:v>
                </c:pt>
                <c:pt idx="1">
                  <c:v>0.33255758485808784</c:v>
                </c:pt>
                <c:pt idx="2">
                  <c:v>0.665228378287824</c:v>
                </c:pt>
                <c:pt idx="3">
                  <c:v>0.99729295034356391</c:v>
                </c:pt>
                <c:pt idx="4">
                  <c:v>1.3404189096980488</c:v>
                </c:pt>
                <c:pt idx="5">
                  <c:v>1.6871472119037221</c:v>
                </c:pt>
                <c:pt idx="6">
                  <c:v>2.0374462383429273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7B-40F9-850D-12662ADDE124}"/>
            </c:ext>
          </c:extLst>
        </c:ser>
        <c:ser>
          <c:idx val="4"/>
          <c:order val="4"/>
          <c:tx>
            <c:v>2.3M (cumulative CO2)</c:v>
          </c:tx>
          <c:spPr>
            <a:ln w="9525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pass'!$B$205:$H$205</c:f>
                <c:numCache>
                  <c:formatCode>General</c:formatCode>
                  <c:ptCount val="7"/>
                  <c:pt idx="0">
                    <c:v>6.4431059928043185E-4</c:v>
                  </c:pt>
                  <c:pt idx="1">
                    <c:v>7.3081583386264189E-3</c:v>
                  </c:pt>
                  <c:pt idx="2">
                    <c:v>1.3905074194517086E-2</c:v>
                  </c:pt>
                  <c:pt idx="3">
                    <c:v>1.4652702215221461E-2</c:v>
                  </c:pt>
                  <c:pt idx="4">
                    <c:v>1.1071960201883856E-2</c:v>
                  </c:pt>
                  <c:pt idx="5">
                    <c:v>1.6658252606133923E-2</c:v>
                  </c:pt>
                  <c:pt idx="6">
                    <c:v>7.1490400493833539E-2</c:v>
                  </c:pt>
                </c:numCache>
              </c:numRef>
            </c:plus>
            <c:minus>
              <c:numRef>
                <c:f>'Single pass'!$B$205:$H$205</c:f>
                <c:numCache>
                  <c:formatCode>General</c:formatCode>
                  <c:ptCount val="7"/>
                  <c:pt idx="0">
                    <c:v>6.4431059928043185E-4</c:v>
                  </c:pt>
                  <c:pt idx="1">
                    <c:v>7.3081583386264189E-3</c:v>
                  </c:pt>
                  <c:pt idx="2">
                    <c:v>1.3905074194517086E-2</c:v>
                  </c:pt>
                  <c:pt idx="3">
                    <c:v>1.4652702215221461E-2</c:v>
                  </c:pt>
                  <c:pt idx="4">
                    <c:v>1.1071960201883856E-2</c:v>
                  </c:pt>
                  <c:pt idx="5">
                    <c:v>1.6658252606133923E-2</c:v>
                  </c:pt>
                  <c:pt idx="6">
                    <c:v>7.1490400493833539E-2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pass'!$B$159:$B$165</c:f>
              <c:numCache>
                <c:formatCode>General</c:formatCode>
                <c:ptCount val="7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</c:numCache>
            </c:numRef>
          </c:xVal>
          <c:yVal>
            <c:numRef>
              <c:f>'Single pass'!$F$159:$F$165</c:f>
              <c:numCache>
                <c:formatCode>General</c:formatCode>
                <c:ptCount val="7"/>
                <c:pt idx="0">
                  <c:v>4.2611083001830322E-2</c:v>
                </c:pt>
                <c:pt idx="1">
                  <c:v>1.3142049288820399</c:v>
                </c:pt>
                <c:pt idx="2">
                  <c:v>2.6281114838062485</c:v>
                </c:pt>
                <c:pt idx="3">
                  <c:v>3.9751213337043558</c:v>
                </c:pt>
                <c:pt idx="4">
                  <c:v>5.3661920554235598</c:v>
                </c:pt>
                <c:pt idx="5">
                  <c:v>6.8540289985461396</c:v>
                </c:pt>
                <c:pt idx="6">
                  <c:v>8.501185149121028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7B-40F9-850D-12662ADDE124}"/>
            </c:ext>
          </c:extLst>
        </c:ser>
        <c:ser>
          <c:idx val="3"/>
          <c:order val="5"/>
          <c:tx>
            <c:v>3M (cumulative CO2)</c:v>
          </c:tx>
          <c:spPr>
            <a:ln w="9525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'Single pass'!$B$206:$K$206</c:f>
                <c:numCache>
                  <c:formatCode>General</c:formatCode>
                  <c:ptCount val="10"/>
                  <c:pt idx="0">
                    <c:v>5.9427568441488047E-4</c:v>
                  </c:pt>
                  <c:pt idx="1">
                    <c:v>6.0462903344771527E-3</c:v>
                  </c:pt>
                  <c:pt idx="2">
                    <c:v>5.592957772800387E-3</c:v>
                  </c:pt>
                  <c:pt idx="3">
                    <c:v>1.1483321335885822E-2</c:v>
                  </c:pt>
                  <c:pt idx="4">
                    <c:v>2.6527230845544085E-2</c:v>
                  </c:pt>
                  <c:pt idx="5">
                    <c:v>3.3281918150464954E-2</c:v>
                  </c:pt>
                  <c:pt idx="6">
                    <c:v>3.4465559417095191E-2</c:v>
                  </c:pt>
                  <c:pt idx="7">
                    <c:v>4.455689848193161E-2</c:v>
                  </c:pt>
                  <c:pt idx="8">
                    <c:v>8.4304905318905485E-2</c:v>
                  </c:pt>
                  <c:pt idx="9">
                    <c:v>0.16128434644784043</c:v>
                  </c:pt>
                </c:numCache>
              </c:numRef>
            </c:plus>
            <c:minus>
              <c:numRef>
                <c:f>'Single pass'!$B$206:$K$206</c:f>
                <c:numCache>
                  <c:formatCode>General</c:formatCode>
                  <c:ptCount val="10"/>
                  <c:pt idx="0">
                    <c:v>5.9427568441488047E-4</c:v>
                  </c:pt>
                  <c:pt idx="1">
                    <c:v>6.0462903344771527E-3</c:v>
                  </c:pt>
                  <c:pt idx="2">
                    <c:v>5.592957772800387E-3</c:v>
                  </c:pt>
                  <c:pt idx="3">
                    <c:v>1.1483321335885822E-2</c:v>
                  </c:pt>
                  <c:pt idx="4">
                    <c:v>2.6527230845544085E-2</c:v>
                  </c:pt>
                  <c:pt idx="5">
                    <c:v>3.3281918150464954E-2</c:v>
                  </c:pt>
                  <c:pt idx="6">
                    <c:v>3.4465559417095191E-2</c:v>
                  </c:pt>
                  <c:pt idx="7">
                    <c:v>4.455689848193161E-2</c:v>
                  </c:pt>
                  <c:pt idx="8">
                    <c:v>8.4304905318905485E-2</c:v>
                  </c:pt>
                  <c:pt idx="9">
                    <c:v>0.16128434644784043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'Single pass'!$B$159:$B$166</c:f>
              <c:numCache>
                <c:formatCode>General</c:formatCode>
                <c:ptCount val="8"/>
                <c:pt idx="0">
                  <c:v>1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  <c:pt idx="7">
                  <c:v>240</c:v>
                </c:pt>
              </c:numCache>
            </c:numRef>
          </c:xVal>
          <c:yVal>
            <c:numRef>
              <c:f>'Single pass'!$G$159:$G$166</c:f>
              <c:numCache>
                <c:formatCode>General</c:formatCode>
                <c:ptCount val="8"/>
                <c:pt idx="0">
                  <c:v>5.5544470842055327E-2</c:v>
                </c:pt>
                <c:pt idx="1">
                  <c:v>1.7370754334102776</c:v>
                </c:pt>
                <c:pt idx="2">
                  <c:v>3.4854155628622738</c:v>
                </c:pt>
                <c:pt idx="3">
                  <c:v>5.2516511783160542</c:v>
                </c:pt>
                <c:pt idx="4">
                  <c:v>7.0554527036799888</c:v>
                </c:pt>
                <c:pt idx="5">
                  <c:v>8.8351610891055312</c:v>
                </c:pt>
                <c:pt idx="6">
                  <c:v>10.647694029561556</c:v>
                </c:pt>
                <c:pt idx="7">
                  <c:v>14.579633965261616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7B-40F9-850D-12662ADDE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81375"/>
        <c:axId val="946283455"/>
      </c:scatterChart>
      <c:valAx>
        <c:axId val="1659041167"/>
        <c:scaling>
          <c:orientation val="minMax"/>
          <c:max val="8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solidFill>
                      <a:sysClr val="windowText" lastClr="000000"/>
                    </a:solidFill>
                  </a:rPr>
                  <a:t>Time</a:t>
                </a:r>
                <a:r>
                  <a:rPr lang="en-GB" sz="900" baseline="0">
                    <a:solidFill>
                      <a:sysClr val="windowText" lastClr="000000"/>
                    </a:solidFill>
                  </a:rPr>
                  <a:t> (minute</a:t>
                </a:r>
                <a:r>
                  <a:rPr lang="en-GB" sz="900">
                    <a:solidFill>
                      <a:sysClr val="windowText" lastClr="000000"/>
                    </a:solidFill>
                  </a:rPr>
                  <a:t>s)</a:t>
                </a:r>
              </a:p>
            </c:rich>
          </c:tx>
          <c:layout>
            <c:manualLayout>
              <c:xMode val="edge"/>
              <c:yMode val="edge"/>
              <c:x val="0.4643602581008987"/>
              <c:y val="0.936372115129292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9042831"/>
        <c:crosses val="autoZero"/>
        <c:crossBetween val="midCat"/>
      </c:valAx>
      <c:valAx>
        <c:axId val="1659042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solidFill>
                      <a:sysClr val="windowText" lastClr="000000"/>
                    </a:solidFill>
                  </a:rPr>
                  <a:t>CO</a:t>
                </a:r>
                <a:r>
                  <a:rPr lang="en-GB" sz="9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GB" sz="900">
                    <a:solidFill>
                      <a:sysClr val="windowText" lastClr="000000"/>
                    </a:solidFill>
                  </a:rPr>
                  <a:t> Flux (x10</a:t>
                </a:r>
                <a:r>
                  <a:rPr lang="en-GB" sz="900" baseline="30000">
                    <a:solidFill>
                      <a:sysClr val="windowText" lastClr="000000"/>
                    </a:solidFill>
                  </a:rPr>
                  <a:t>-3</a:t>
                </a:r>
                <a:r>
                  <a:rPr lang="en-GB" sz="900">
                    <a:solidFill>
                      <a:sysClr val="windowText" lastClr="000000"/>
                    </a:solidFill>
                  </a:rPr>
                  <a:t> Mol CO</a:t>
                </a:r>
                <a:r>
                  <a:rPr lang="en-GB" sz="9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GB" sz="900" baseline="0">
                    <a:solidFill>
                      <a:sysClr val="windowText" lastClr="000000"/>
                    </a:solidFill>
                  </a:rPr>
                  <a:t> m</a:t>
                </a:r>
                <a:r>
                  <a:rPr lang="en-GB" sz="900" baseline="30000">
                    <a:solidFill>
                      <a:sysClr val="windowText" lastClr="000000"/>
                    </a:solidFill>
                  </a:rPr>
                  <a:t>-2</a:t>
                </a:r>
                <a:r>
                  <a:rPr lang="en-GB" sz="900" baseline="0">
                    <a:solidFill>
                      <a:sysClr val="windowText" lastClr="000000"/>
                    </a:solidFill>
                  </a:rPr>
                  <a:t> s</a:t>
                </a:r>
                <a:r>
                  <a:rPr lang="en-GB" sz="900" baseline="30000">
                    <a:solidFill>
                      <a:sysClr val="windowText" lastClr="000000"/>
                    </a:solidFill>
                  </a:rPr>
                  <a:t>-1</a:t>
                </a:r>
                <a:r>
                  <a:rPr lang="en-GB" sz="900" baseline="0">
                    <a:solidFill>
                      <a:sysClr val="windowText" lastClr="000000"/>
                    </a:solidFill>
                  </a:rPr>
                  <a:t>)</a:t>
                </a:r>
                <a:endParaRPr lang="en-GB" sz="9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5362096861180024E-2"/>
              <c:y val="0.36389622876087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9041167"/>
        <c:crosses val="autoZero"/>
        <c:crossBetween val="midCat"/>
      </c:valAx>
      <c:valAx>
        <c:axId val="94628345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solidFill>
                      <a:sysClr val="windowText" lastClr="000000"/>
                    </a:solidFill>
                  </a:rPr>
                  <a:t>Cumulative CO</a:t>
                </a:r>
                <a:r>
                  <a:rPr lang="en-GB" sz="9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GB" sz="900">
                    <a:solidFill>
                      <a:sysClr val="windowText" lastClr="000000"/>
                    </a:solidFill>
                  </a:rPr>
                  <a:t> absorbed</a:t>
                </a:r>
                <a:r>
                  <a:rPr lang="en-GB" sz="900" baseline="0">
                    <a:solidFill>
                      <a:sysClr val="windowText" lastClr="000000"/>
                    </a:solidFill>
                  </a:rPr>
                  <a:t> (g)</a:t>
                </a:r>
                <a:endParaRPr lang="en-GB" sz="9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97010462733254255"/>
              <c:y val="0.342464152507252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281375"/>
        <c:crosses val="max"/>
        <c:crossBetween val="midCat"/>
      </c:valAx>
      <c:valAx>
        <c:axId val="9462813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6283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585295763649379"/>
          <c:y val="5.2446659357453733E-2"/>
          <c:w val="0.16666061968401591"/>
          <c:h val="0.18167527160370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41829982519789"/>
          <c:y val="9.3009259259259264E-2"/>
          <c:w val="0.79998468501296494"/>
          <c:h val="0.7069987605715951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'Single pass'!$N$67:$N$69</c:f>
              <c:numCache>
                <c:formatCode>General</c:formatCode>
                <c:ptCount val="3"/>
                <c:pt idx="0">
                  <c:v>0.6</c:v>
                </c:pt>
                <c:pt idx="1">
                  <c:v>3</c:v>
                </c:pt>
                <c:pt idx="2">
                  <c:v>2.2999999999999998</c:v>
                </c:pt>
              </c:numCache>
            </c:numRef>
          </c:xVal>
          <c:yVal>
            <c:numRef>
              <c:f>'Single pass'!$P$67:$P$69</c:f>
              <c:numCache>
                <c:formatCode>General</c:formatCode>
                <c:ptCount val="3"/>
                <c:pt idx="0">
                  <c:v>0.7</c:v>
                </c:pt>
                <c:pt idx="1">
                  <c:v>6</c:v>
                </c:pt>
                <c:pt idx="2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25-4741-A671-611CD651B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752928"/>
        <c:axId val="1322748352"/>
      </c:scatterChart>
      <c:valAx>
        <c:axId val="1322752928"/>
        <c:scaling>
          <c:orientation val="minMax"/>
          <c:max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Ammonia</a:t>
                </a:r>
                <a:r>
                  <a:rPr lang="en-GB" baseline="0"/>
                  <a:t> concentration (M NH</a:t>
                </a:r>
                <a:r>
                  <a:rPr lang="en-GB" baseline="-25000"/>
                  <a:t>3</a:t>
                </a:r>
                <a:r>
                  <a:rPr lang="en-GB" baseline="0"/>
                  <a:t> L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4041380981223499"/>
              <c:y val="0.85412304594001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748352"/>
        <c:crosses val="autoZero"/>
        <c:crossBetween val="midCat"/>
        <c:majorUnit val="1"/>
      </c:valAx>
      <c:valAx>
        <c:axId val="1322748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dJ/dt (x10</a:t>
                </a:r>
                <a:r>
                  <a:rPr lang="en-GB" baseline="30000"/>
                  <a:t>-6</a:t>
                </a:r>
                <a:r>
                  <a:rPr lang="en-GB"/>
                  <a:t> [Mol CO</a:t>
                </a:r>
                <a:r>
                  <a:rPr lang="en-GB" baseline="-25000"/>
                  <a:t>2</a:t>
                </a:r>
                <a:r>
                  <a:rPr lang="en-GB"/>
                  <a:t> m</a:t>
                </a:r>
                <a:r>
                  <a:rPr lang="en-GB" baseline="30000"/>
                  <a:t>-2</a:t>
                </a:r>
                <a:r>
                  <a:rPr lang="en-GB"/>
                  <a:t> s</a:t>
                </a:r>
                <a:r>
                  <a:rPr lang="en-GB" baseline="30000"/>
                  <a:t>-1</a:t>
                </a:r>
                <a:r>
                  <a:rPr lang="en-GB"/>
                  <a:t>] min</a:t>
                </a:r>
                <a:r>
                  <a:rPr lang="en-GB" baseline="30000"/>
                  <a:t>-1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9.8589353253920181E-2"/>
              <c:y val="0.302786279073606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752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Single</a:t>
            </a:r>
            <a:r>
              <a:rPr lang="en-US" sz="1000" baseline="0"/>
              <a:t> Pass</a:t>
            </a:r>
            <a:r>
              <a:rPr lang="en-US" sz="1000"/>
              <a:t>; Ql=4.55ml/min; Qg=50ml/min;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77E-2"/>
          <c:y val="0.10702295599707133"/>
          <c:w val="0.78813719181362629"/>
          <c:h val="0.71952231368613961"/>
        </c:manualLayout>
      </c:layout>
      <c:scatterChart>
        <c:scatterStyle val="lineMarker"/>
        <c:varyColors val="0"/>
        <c:ser>
          <c:idx val="3"/>
          <c:order val="0"/>
          <c:tx>
            <c:v>NH3 3M</c:v>
          </c:tx>
          <c:spPr>
            <a:ln w="28575">
              <a:noFill/>
            </a:ln>
          </c:spPr>
          <c:marker>
            <c:symbol val="x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'Single pass'!$Z$5:$Z$21</c:f>
                <c:numCache>
                  <c:formatCode>General</c:formatCode>
                  <c:ptCount val="17"/>
                  <c:pt idx="0">
                    <c:v>0.15580012284013903</c:v>
                  </c:pt>
                  <c:pt idx="1">
                    <c:v>5.3983674894531125E-2</c:v>
                  </c:pt>
                  <c:pt idx="2">
                    <c:v>4.5999559287852015E-2</c:v>
                  </c:pt>
                  <c:pt idx="3">
                    <c:v>6.8005911930421645E-2</c:v>
                  </c:pt>
                  <c:pt idx="4">
                    <c:v>0.18017785839324194</c:v>
                  </c:pt>
                  <c:pt idx="5">
                    <c:v>7.9944660659003075E-2</c:v>
                  </c:pt>
                  <c:pt idx="6">
                    <c:v>0.1042349459298515</c:v>
                  </c:pt>
                  <c:pt idx="7">
                    <c:v>8.499914666852558E-2</c:v>
                  </c:pt>
                  <c:pt idx="8">
                    <c:v>3.6821674195974097E-2</c:v>
                  </c:pt>
                  <c:pt idx="9">
                    <c:v>0.26209843400920985</c:v>
                  </c:pt>
                  <c:pt idx="10">
                    <c:v>4.9289463714219897E-2</c:v>
                  </c:pt>
                  <c:pt idx="11">
                    <c:v>8.0456436111980473E-2</c:v>
                  </c:pt>
                  <c:pt idx="12">
                    <c:v>6.3229660017730477E-2</c:v>
                  </c:pt>
                  <c:pt idx="13">
                    <c:v>0.72257529343553584</c:v>
                  </c:pt>
                  <c:pt idx="14">
                    <c:v>0.22887980060542071</c:v>
                  </c:pt>
                  <c:pt idx="15">
                    <c:v>0.40885646292086542</c:v>
                  </c:pt>
                  <c:pt idx="16">
                    <c:v>0</c:v>
                  </c:pt>
                </c:numCache>
              </c:numRef>
            </c:plus>
            <c:minus>
              <c:numRef>
                <c:f>'Single pass'!$Z$5:$Z$21</c:f>
                <c:numCache>
                  <c:formatCode>General</c:formatCode>
                  <c:ptCount val="17"/>
                  <c:pt idx="0">
                    <c:v>0.15580012284013903</c:v>
                  </c:pt>
                  <c:pt idx="1">
                    <c:v>5.3983674894531125E-2</c:v>
                  </c:pt>
                  <c:pt idx="2">
                    <c:v>4.5999559287852015E-2</c:v>
                  </c:pt>
                  <c:pt idx="3">
                    <c:v>6.8005911930421645E-2</c:v>
                  </c:pt>
                  <c:pt idx="4">
                    <c:v>0.18017785839324194</c:v>
                  </c:pt>
                  <c:pt idx="5">
                    <c:v>7.9944660659003075E-2</c:v>
                  </c:pt>
                  <c:pt idx="6">
                    <c:v>0.1042349459298515</c:v>
                  </c:pt>
                  <c:pt idx="7">
                    <c:v>8.499914666852558E-2</c:v>
                  </c:pt>
                  <c:pt idx="8">
                    <c:v>3.6821674195974097E-2</c:v>
                  </c:pt>
                  <c:pt idx="9">
                    <c:v>0.26209843400920985</c:v>
                  </c:pt>
                  <c:pt idx="10">
                    <c:v>4.9289463714219897E-2</c:v>
                  </c:pt>
                  <c:pt idx="11">
                    <c:v>8.0456436111980473E-2</c:v>
                  </c:pt>
                  <c:pt idx="12">
                    <c:v>6.3229660017730477E-2</c:v>
                  </c:pt>
                  <c:pt idx="13">
                    <c:v>0.72257529343553584</c:v>
                  </c:pt>
                  <c:pt idx="14">
                    <c:v>0.22887980060542071</c:v>
                  </c:pt>
                  <c:pt idx="15">
                    <c:v>0.40885646292086542</c:v>
                  </c:pt>
                  <c:pt idx="16">
                    <c:v>0</c:v>
                  </c:pt>
                </c:numCache>
              </c:numRef>
            </c:minus>
          </c:errBars>
          <c:xVal>
            <c:numRef>
              <c:f>'Single pass'!$A$69:$A$85</c:f>
              <c:numCache>
                <c:formatCode>General</c:formatCode>
                <c:ptCount val="17"/>
                <c:pt idx="0" formatCode="0.0">
                  <c:v>1.6666666666666666E-2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</c:numCache>
            </c:numRef>
          </c:xVal>
          <c:yVal>
            <c:numRef>
              <c:f>'Single pass'!$I$69:$I$85</c:f>
              <c:numCache>
                <c:formatCode>General</c:formatCode>
                <c:ptCount val="17"/>
                <c:pt idx="0">
                  <c:v>14.561987991824479</c:v>
                </c:pt>
                <c:pt idx="1">
                  <c:v>15.201509158948751</c:v>
                </c:pt>
                <c:pt idx="2">
                  <c:v>15.278633249323276</c:v>
                </c:pt>
                <c:pt idx="3">
                  <c:v>15.435020763877086</c:v>
                </c:pt>
                <c:pt idx="4">
                  <c:v>15.763306862517545</c:v>
                </c:pt>
                <c:pt idx="5">
                  <c:v>15.552758444196503</c:v>
                </c:pt>
                <c:pt idx="6">
                  <c:v>15.839610143951395</c:v>
                </c:pt>
                <c:pt idx="7">
                  <c:v>17.163235078089805</c:v>
                </c:pt>
                <c:pt idx="8">
                  <c:v>17.19773806662598</c:v>
                </c:pt>
                <c:pt idx="9">
                  <c:v>17.226024899338331</c:v>
                </c:pt>
                <c:pt idx="10">
                  <c:v>17.268093959010667</c:v>
                </c:pt>
                <c:pt idx="11">
                  <c:v>17.302096490097661</c:v>
                </c:pt>
                <c:pt idx="12">
                  <c:v>17.219342899026024</c:v>
                </c:pt>
                <c:pt idx="13">
                  <c:v>18.780924309327276</c:v>
                </c:pt>
                <c:pt idx="14">
                  <c:v>18.375473687654495</c:v>
                </c:pt>
                <c:pt idx="15">
                  <c:v>19.432726269662474</c:v>
                </c:pt>
                <c:pt idx="16">
                  <c:v>25.462703950974984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D8-41D2-9648-176396888C91}"/>
            </c:ext>
          </c:extLst>
        </c:ser>
        <c:ser>
          <c:idx val="0"/>
          <c:order val="1"/>
          <c:tx>
            <c:v>NH3 2.3M A</c:v>
          </c:tx>
          <c:spPr>
            <a:ln w="28575">
              <a:noFill/>
            </a:ln>
          </c:spPr>
          <c:marker>
            <c:symbol val="diamond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'Single pass'!$BI$5:$BI$10</c:f>
                <c:numCache>
                  <c:formatCode>General</c:formatCode>
                  <c:ptCount val="6"/>
                  <c:pt idx="0">
                    <c:v>0.45482959215608987</c:v>
                  </c:pt>
                  <c:pt idx="1">
                    <c:v>7.4726451080035075E-2</c:v>
                  </c:pt>
                  <c:pt idx="2">
                    <c:v>2.4186499150115386E-2</c:v>
                  </c:pt>
                  <c:pt idx="3">
                    <c:v>4.8713415427700156E-2</c:v>
                  </c:pt>
                  <c:pt idx="4">
                    <c:v>3.6857783259775852E-2</c:v>
                  </c:pt>
                  <c:pt idx="5">
                    <c:v>4.8568206183709162E-2</c:v>
                  </c:pt>
                </c:numCache>
              </c:numRef>
            </c:plus>
            <c:minus>
              <c:numRef>
                <c:f>'Single pass'!$BI$5:$BI$10</c:f>
                <c:numCache>
                  <c:formatCode>General</c:formatCode>
                  <c:ptCount val="6"/>
                  <c:pt idx="0">
                    <c:v>0.45482959215608987</c:v>
                  </c:pt>
                  <c:pt idx="1">
                    <c:v>7.4726451080035075E-2</c:v>
                  </c:pt>
                  <c:pt idx="2">
                    <c:v>2.4186499150115386E-2</c:v>
                  </c:pt>
                  <c:pt idx="3">
                    <c:v>4.8713415427700156E-2</c:v>
                  </c:pt>
                  <c:pt idx="4">
                    <c:v>3.6857783259775852E-2</c:v>
                  </c:pt>
                  <c:pt idx="5">
                    <c:v>4.8568206183709162E-2</c:v>
                  </c:pt>
                </c:numCache>
              </c:numRef>
            </c:minus>
          </c:errBars>
          <c:xVal>
            <c:numRef>
              <c:f>'Single pass'!$AJ$69:$AJ$74</c:f>
              <c:numCache>
                <c:formatCode>General</c:formatCode>
                <c:ptCount val="6"/>
                <c:pt idx="0" formatCode="0.0">
                  <c:v>1.6666666666666666E-2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</c:numCache>
            </c:numRef>
          </c:xVal>
          <c:yVal>
            <c:numRef>
              <c:f>'Single pass'!$AR$69:$AR$74</c:f>
              <c:numCache>
                <c:formatCode>General</c:formatCode>
                <c:ptCount val="6"/>
                <c:pt idx="0">
                  <c:v>11.901930722154283</c:v>
                </c:pt>
                <c:pt idx="1">
                  <c:v>12.474088166443396</c:v>
                </c:pt>
                <c:pt idx="2">
                  <c:v>12.503445913946326</c:v>
                </c:pt>
                <c:pt idx="3">
                  <c:v>12.514557993150236</c:v>
                </c:pt>
                <c:pt idx="4">
                  <c:v>12.566456034119373</c:v>
                </c:pt>
                <c:pt idx="5">
                  <c:v>12.818258501133753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D8-41D2-9648-176396888C91}"/>
            </c:ext>
          </c:extLst>
        </c:ser>
        <c:ser>
          <c:idx val="1"/>
          <c:order val="2"/>
          <c:tx>
            <c:v>NH3 2.3M B</c:v>
          </c:tx>
          <c:spPr>
            <a:ln w="28575">
              <a:noFill/>
            </a:ln>
          </c:spPr>
          <c:marker>
            <c:symbol val="square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'Single pass'!$CQ$5:$CQ$11</c:f>
                <c:numCache>
                  <c:formatCode>General</c:formatCode>
                  <c:ptCount val="7"/>
                  <c:pt idx="0">
                    <c:v>0.16891768104887631</c:v>
                  </c:pt>
                  <c:pt idx="1">
                    <c:v>6.8868264017693678E-2</c:v>
                  </c:pt>
                  <c:pt idx="2">
                    <c:v>6.1610016112314973E-2</c:v>
                  </c:pt>
                  <c:pt idx="3">
                    <c:v>4.1730384789107615E-2</c:v>
                  </c:pt>
                  <c:pt idx="4">
                    <c:v>8.9176854764611194E-2</c:v>
                  </c:pt>
                  <c:pt idx="5">
                    <c:v>6.4331280033373101E-2</c:v>
                  </c:pt>
                  <c:pt idx="6">
                    <c:v>0.73827396969809855</c:v>
                  </c:pt>
                </c:numCache>
              </c:numRef>
            </c:plus>
            <c:minus>
              <c:numRef>
                <c:f>'Single pass'!$CQ$5:$CQ$11</c:f>
                <c:numCache>
                  <c:formatCode>General</c:formatCode>
                  <c:ptCount val="7"/>
                  <c:pt idx="0">
                    <c:v>0.16891768104887631</c:v>
                  </c:pt>
                  <c:pt idx="1">
                    <c:v>6.8868264017693678E-2</c:v>
                  </c:pt>
                  <c:pt idx="2">
                    <c:v>6.1610016112314973E-2</c:v>
                  </c:pt>
                  <c:pt idx="3">
                    <c:v>4.1730384789107615E-2</c:v>
                  </c:pt>
                  <c:pt idx="4">
                    <c:v>8.9176854764611194E-2</c:v>
                  </c:pt>
                  <c:pt idx="5">
                    <c:v>6.4331280033373101E-2</c:v>
                  </c:pt>
                  <c:pt idx="6">
                    <c:v>0.73827396969809855</c:v>
                  </c:pt>
                </c:numCache>
              </c:numRef>
            </c:minus>
          </c:errBars>
          <c:xVal>
            <c:numRef>
              <c:f>'Single pass'!$BR$69:$BR$75</c:f>
              <c:numCache>
                <c:formatCode>General</c:formatCode>
                <c:ptCount val="7"/>
                <c:pt idx="0" formatCode="0.0">
                  <c:v>1.6666666666666666E-2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</c:numCache>
            </c:numRef>
          </c:xVal>
          <c:yVal>
            <c:numRef>
              <c:f>'Single pass'!$BZ$69:$BZ$75</c:f>
              <c:numCache>
                <c:formatCode>General</c:formatCode>
                <c:ptCount val="7"/>
                <c:pt idx="0">
                  <c:v>11.171266367011242</c:v>
                </c:pt>
                <c:pt idx="1">
                  <c:v>11.495563224769713</c:v>
                </c:pt>
                <c:pt idx="2">
                  <c:v>11.482145858461239</c:v>
                </c:pt>
                <c:pt idx="3">
                  <c:v>11.771433448862142</c:v>
                </c:pt>
                <c:pt idx="4">
                  <c:v>12.156478606757691</c:v>
                </c:pt>
                <c:pt idx="5">
                  <c:v>13.002112464174443</c:v>
                </c:pt>
                <c:pt idx="6">
                  <c:v>14.394392890180356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D8-41D2-9648-176396888C91}"/>
            </c:ext>
          </c:extLst>
        </c:ser>
        <c:ser>
          <c:idx val="2"/>
          <c:order val="3"/>
          <c:tx>
            <c:v>NH3 0.6M</c:v>
          </c:tx>
          <c:spPr>
            <a:ln w="28575">
              <a:noFill/>
            </a:ln>
          </c:spPr>
          <c:marker>
            <c:symbol val="triangle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'Single pass'!$DZ$5:$DZ$16</c:f>
                <c:numCache>
                  <c:formatCode>General</c:formatCode>
                  <c:ptCount val="12"/>
                  <c:pt idx="0">
                    <c:v>0.14773820080929079</c:v>
                  </c:pt>
                  <c:pt idx="1">
                    <c:v>5.8050547834789003E-2</c:v>
                  </c:pt>
                  <c:pt idx="2">
                    <c:v>0.21168376000138664</c:v>
                  </c:pt>
                  <c:pt idx="3">
                    <c:v>6.492680391966911E-2</c:v>
                  </c:pt>
                  <c:pt idx="4">
                    <c:v>0.20169939254351021</c:v>
                  </c:pt>
                  <c:pt idx="5">
                    <c:v>0.14077418831030339</c:v>
                  </c:pt>
                  <c:pt idx="6">
                    <c:v>0.12931018157328164</c:v>
                  </c:pt>
                  <c:pt idx="7">
                    <c:v>0.12473008545349082</c:v>
                  </c:pt>
                  <c:pt idx="8">
                    <c:v>0.16532203739900023</c:v>
                  </c:pt>
                  <c:pt idx="9">
                    <c:v>0.11541740587211259</c:v>
                  </c:pt>
                  <c:pt idx="10">
                    <c:v>0.11147529596868626</c:v>
                  </c:pt>
                  <c:pt idx="11">
                    <c:v>8.0631463206817147E-2</c:v>
                  </c:pt>
                </c:numCache>
              </c:numRef>
            </c:plus>
            <c:minus>
              <c:numRef>
                <c:f>'Single pass'!$DZ$5:$DZ$16</c:f>
                <c:numCache>
                  <c:formatCode>General</c:formatCode>
                  <c:ptCount val="12"/>
                  <c:pt idx="0">
                    <c:v>0.14773820080929079</c:v>
                  </c:pt>
                  <c:pt idx="1">
                    <c:v>5.8050547834789003E-2</c:v>
                  </c:pt>
                  <c:pt idx="2">
                    <c:v>0.21168376000138664</c:v>
                  </c:pt>
                  <c:pt idx="3">
                    <c:v>6.492680391966911E-2</c:v>
                  </c:pt>
                  <c:pt idx="4">
                    <c:v>0.20169939254351021</c:v>
                  </c:pt>
                  <c:pt idx="5">
                    <c:v>0.14077418831030339</c:v>
                  </c:pt>
                  <c:pt idx="6">
                    <c:v>0.12931018157328164</c:v>
                  </c:pt>
                  <c:pt idx="7">
                    <c:v>0.12473008545349082</c:v>
                  </c:pt>
                  <c:pt idx="8">
                    <c:v>0.16532203739900023</c:v>
                  </c:pt>
                  <c:pt idx="9">
                    <c:v>0.11541740587211259</c:v>
                  </c:pt>
                  <c:pt idx="10">
                    <c:v>0.11147529596868626</c:v>
                  </c:pt>
                  <c:pt idx="11">
                    <c:v>8.0631463206817147E-2</c:v>
                  </c:pt>
                </c:numCache>
              </c:numRef>
            </c:minus>
          </c:errBars>
          <c:xVal>
            <c:numRef>
              <c:f>'Single pass'!$DA$69:$DA$80</c:f>
              <c:numCache>
                <c:formatCode>General</c:formatCode>
                <c:ptCount val="12"/>
                <c:pt idx="0" formatCode="0.0">
                  <c:v>1.6666666666666666E-2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</c:numCache>
            </c:numRef>
          </c:xVal>
          <c:yVal>
            <c:numRef>
              <c:f>'Single pass'!$DI$69:$DI$80</c:f>
              <c:numCache>
                <c:formatCode>General</c:formatCode>
                <c:ptCount val="12"/>
                <c:pt idx="0">
                  <c:v>2.7144076212672936</c:v>
                </c:pt>
                <c:pt idx="1">
                  <c:v>2.9128131096740093</c:v>
                </c:pt>
                <c:pt idx="2">
                  <c:v>2.9071889159047539</c:v>
                </c:pt>
                <c:pt idx="3">
                  <c:v>2.9018911858548835</c:v>
                </c:pt>
                <c:pt idx="4">
                  <c:v>2.9985559462863787</c:v>
                </c:pt>
                <c:pt idx="5">
                  <c:v>3.0300365914620304</c:v>
                </c:pt>
                <c:pt idx="6">
                  <c:v>3.0612409235479778</c:v>
                </c:pt>
                <c:pt idx="7">
                  <c:v>3.0621093014058296</c:v>
                </c:pt>
                <c:pt idx="8">
                  <c:v>3.2107972547042607</c:v>
                </c:pt>
                <c:pt idx="9">
                  <c:v>3.2669691833444325</c:v>
                </c:pt>
                <c:pt idx="10">
                  <c:v>3.2844017352648924</c:v>
                </c:pt>
                <c:pt idx="11">
                  <c:v>3.317594274277174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D8-41D2-9648-176396888C91}"/>
            </c:ext>
          </c:extLst>
        </c:ser>
        <c:ser>
          <c:idx val="4"/>
          <c:order val="4"/>
          <c:tx>
            <c:v>NH3 0.06M</c:v>
          </c:tx>
          <c:spPr>
            <a:ln w="28575">
              <a:noFill/>
            </a:ln>
          </c:spPr>
          <c:marker>
            <c:symbol val="star"/>
            <c:size val="4"/>
          </c:marker>
          <c:errBars>
            <c:errDir val="y"/>
            <c:errBarType val="both"/>
            <c:errValType val="cust"/>
            <c:noEndCap val="0"/>
            <c:plus>
              <c:numRef>
                <c:f>'Single pass'!$GP$5:$GP$16</c:f>
                <c:numCache>
                  <c:formatCode>General</c:formatCode>
                  <c:ptCount val="12"/>
                  <c:pt idx="0">
                    <c:v>0.43024100271977972</c:v>
                  </c:pt>
                  <c:pt idx="1">
                    <c:v>0.10046335833984546</c:v>
                  </c:pt>
                  <c:pt idx="2">
                    <c:v>0.40519396056894191</c:v>
                  </c:pt>
                  <c:pt idx="3">
                    <c:v>0.20022038985608878</c:v>
                  </c:pt>
                  <c:pt idx="4">
                    <c:v>0.25788992838656261</c:v>
                  </c:pt>
                  <c:pt idx="5">
                    <c:v>0.2180201063506608</c:v>
                  </c:pt>
                  <c:pt idx="6">
                    <c:v>0.30720150058717721</c:v>
                  </c:pt>
                  <c:pt idx="7">
                    <c:v>0.30782112729911815</c:v>
                  </c:pt>
                  <c:pt idx="8">
                    <c:v>0.25787801259347776</c:v>
                  </c:pt>
                  <c:pt idx="9">
                    <c:v>0.22984277242022133</c:v>
                  </c:pt>
                  <c:pt idx="10">
                    <c:v>9.954665196213687E-2</c:v>
                  </c:pt>
                  <c:pt idx="11">
                    <c:v>0.19045864940694712</c:v>
                  </c:pt>
                </c:numCache>
              </c:numRef>
            </c:plus>
            <c:minus>
              <c:numRef>
                <c:f>'Single pass'!$GP$5:$GP$16</c:f>
                <c:numCache>
                  <c:formatCode>General</c:formatCode>
                  <c:ptCount val="12"/>
                  <c:pt idx="0">
                    <c:v>0.43024100271977972</c:v>
                  </c:pt>
                  <c:pt idx="1">
                    <c:v>0.10046335833984546</c:v>
                  </c:pt>
                  <c:pt idx="2">
                    <c:v>0.40519396056894191</c:v>
                  </c:pt>
                  <c:pt idx="3">
                    <c:v>0.20022038985608878</c:v>
                  </c:pt>
                  <c:pt idx="4">
                    <c:v>0.25788992838656261</c:v>
                  </c:pt>
                  <c:pt idx="5">
                    <c:v>0.2180201063506608</c:v>
                  </c:pt>
                  <c:pt idx="6">
                    <c:v>0.30720150058717721</c:v>
                  </c:pt>
                  <c:pt idx="7">
                    <c:v>0.30782112729911815</c:v>
                  </c:pt>
                  <c:pt idx="8">
                    <c:v>0.25787801259347776</c:v>
                  </c:pt>
                  <c:pt idx="9">
                    <c:v>0.22984277242022133</c:v>
                  </c:pt>
                  <c:pt idx="10">
                    <c:v>9.954665196213687E-2</c:v>
                  </c:pt>
                  <c:pt idx="11">
                    <c:v>0.19045864940694712</c:v>
                  </c:pt>
                </c:numCache>
              </c:numRef>
            </c:minus>
          </c:errBars>
          <c:xVal>
            <c:numRef>
              <c:f>'Single pass'!$EI$69:$EI$80</c:f>
              <c:numCache>
                <c:formatCode>General</c:formatCode>
                <c:ptCount val="12"/>
                <c:pt idx="0" formatCode="0.0">
                  <c:v>1.6666666666666666E-2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</c:numCache>
            </c:numRef>
          </c:xVal>
          <c:yVal>
            <c:numRef>
              <c:f>'Single pass'!$EQ$69:$EQ$80</c:f>
              <c:numCache>
                <c:formatCode>General</c:formatCode>
                <c:ptCount val="12"/>
                <c:pt idx="0">
                  <c:v>0.47050496446158047</c:v>
                </c:pt>
                <c:pt idx="1">
                  <c:v>0.59439704373665414</c:v>
                </c:pt>
                <c:pt idx="2">
                  <c:v>0.61212310745065768</c:v>
                </c:pt>
                <c:pt idx="3">
                  <c:v>0.61738717307403668</c:v>
                </c:pt>
                <c:pt idx="4">
                  <c:v>0.62869285253626694</c:v>
                </c:pt>
                <c:pt idx="5">
                  <c:v>0.64015335282553854</c:v>
                </c:pt>
                <c:pt idx="6">
                  <c:v>0.67737779881456928</c:v>
                </c:pt>
                <c:pt idx="7">
                  <c:v>0.68337729676722492</c:v>
                </c:pt>
                <c:pt idx="8">
                  <c:v>0.69708598377802233</c:v>
                </c:pt>
                <c:pt idx="9">
                  <c:v>0.69993037488747867</c:v>
                </c:pt>
                <c:pt idx="10">
                  <c:v>0.75289338186301713</c:v>
                </c:pt>
                <c:pt idx="11">
                  <c:v>0.81097254225617599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D8-41D2-9648-176396888C91}"/>
            </c:ext>
          </c:extLst>
        </c:ser>
        <c:ser>
          <c:idx val="5"/>
          <c:order val="5"/>
          <c:tx>
            <c:v>NH3 0.006M</c:v>
          </c:tx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'Single pass'!$FQ$69:$FQ$80</c:f>
              <c:numCache>
                <c:formatCode>General</c:formatCode>
                <c:ptCount val="12"/>
                <c:pt idx="0" formatCode="0.0">
                  <c:v>1.6666666666666666E-2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</c:numCache>
            </c:numRef>
          </c:xVal>
          <c:yVal>
            <c:numRef>
              <c:f>'Single pass'!$FY$69:$FY$80</c:f>
              <c:numCache>
                <c:formatCode>General</c:formatCode>
                <c:ptCount val="12"/>
                <c:pt idx="0">
                  <c:v>0.232132620871392</c:v>
                </c:pt>
                <c:pt idx="1">
                  <c:v>0.35410149991550915</c:v>
                </c:pt>
                <c:pt idx="2">
                  <c:v>0.44358507485823151</c:v>
                </c:pt>
                <c:pt idx="3">
                  <c:v>0.46168431972690888</c:v>
                </c:pt>
                <c:pt idx="4">
                  <c:v>0.46727345686186256</c:v>
                </c:pt>
                <c:pt idx="5">
                  <c:v>0.46814929779466474</c:v>
                </c:pt>
                <c:pt idx="6">
                  <c:v>0.55985780282368758</c:v>
                </c:pt>
                <c:pt idx="7">
                  <c:v>0.54747067192695276</c:v>
                </c:pt>
                <c:pt idx="8">
                  <c:v>0.64953464298167385</c:v>
                </c:pt>
                <c:pt idx="9">
                  <c:v>0.65347535735590434</c:v>
                </c:pt>
                <c:pt idx="10">
                  <c:v>0.65071907218980285</c:v>
                </c:pt>
                <c:pt idx="11">
                  <c:v>0.88167442747339586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D8-41D2-9648-176396888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49856"/>
        <c:axId val="126651776"/>
      </c:scatterChart>
      <c:valAx>
        <c:axId val="126649856"/>
        <c:scaling>
          <c:orientation val="minMax"/>
          <c:max val="12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/>
                  <a:t>Time</a:t>
                </a:r>
                <a:r>
                  <a:rPr lang="en-GB" sz="1500" baseline="0"/>
                  <a:t> measurement (hours)</a:t>
                </a:r>
                <a:endParaRPr lang="en-GB" sz="1500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26651776"/>
        <c:crosses val="autoZero"/>
        <c:crossBetween val="midCat"/>
      </c:valAx>
      <c:valAx>
        <c:axId val="12665177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</a:t>
                </a:r>
                <a:r>
                  <a:rPr lang="en-US" sz="1500" baseline="-25000"/>
                  <a:t>CO2 </a:t>
                </a:r>
                <a:r>
                  <a:rPr lang="en-US" sz="1500"/>
                  <a:t>(*10</a:t>
                </a:r>
                <a:r>
                  <a:rPr lang="en-US" sz="1500" baseline="30000"/>
                  <a:t>3</a:t>
                </a:r>
                <a:r>
                  <a:rPr lang="en-US" sz="1500"/>
                  <a:t>molCO</a:t>
                </a:r>
                <a:r>
                  <a:rPr lang="en-US" sz="1500" baseline="-25000"/>
                  <a:t>2</a:t>
                </a:r>
                <a:r>
                  <a:rPr lang="en-US" sz="1500"/>
                  <a:t>/m</a:t>
                </a:r>
                <a:r>
                  <a:rPr lang="en-US" sz="1500" baseline="30000"/>
                  <a:t>2</a:t>
                </a:r>
                <a:r>
                  <a:rPr lang="en-US" sz="1500"/>
                  <a:t>*s)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26649856"/>
        <c:crosses val="autoZero"/>
        <c:crossBetween val="midCat"/>
        <c:majorUnit val="2"/>
        <c:minorUnit val="4.0000000000000015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Single Pass; Ql=4.55ml/min; Qg=50ml/min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3435366746730507E-2"/>
          <c:y val="0.13729638821751206"/>
          <c:w val="0.82471231834763326"/>
          <c:h val="0.66612804081287103"/>
        </c:manualLayout>
      </c:layout>
      <c:barChart>
        <c:barDir val="col"/>
        <c:grouping val="clustered"/>
        <c:varyColors val="0"/>
        <c:ser>
          <c:idx val="0"/>
          <c:order val="0"/>
          <c:tx>
            <c:v>0</c:v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pass'!$P$111:$P$115</c:f>
                <c:numCache>
                  <c:formatCode>General</c:formatCode>
                  <c:ptCount val="5"/>
                  <c:pt idx="0">
                    <c:v>1.0699097055127985E-2</c:v>
                  </c:pt>
                  <c:pt idx="1">
                    <c:v>1.5120728080362507E-2</c:v>
                  </c:pt>
                  <c:pt idx="2">
                    <c:v>5.4427418952027254E-2</c:v>
                  </c:pt>
                  <c:pt idx="3">
                    <c:v>0.2719981993790424</c:v>
                  </c:pt>
                  <c:pt idx="4">
                    <c:v>1</c:v>
                  </c:pt>
                </c:numCache>
              </c:numRef>
            </c:plus>
            <c:minus>
              <c:numRef>
                <c:f>'Single pass'!$P$111:$P$115</c:f>
                <c:numCache>
                  <c:formatCode>General</c:formatCode>
                  <c:ptCount val="5"/>
                  <c:pt idx="0">
                    <c:v>1.0699097055127985E-2</c:v>
                  </c:pt>
                  <c:pt idx="1">
                    <c:v>1.5120728080362507E-2</c:v>
                  </c:pt>
                  <c:pt idx="2">
                    <c:v>5.4427418952027254E-2</c:v>
                  </c:pt>
                  <c:pt idx="3">
                    <c:v>0.2719981993790424</c:v>
                  </c:pt>
                  <c:pt idx="4">
                    <c:v>1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pass'!$B$126:$B$130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E-48BF-A642-6AAF1DE41163}"/>
            </c:ext>
          </c:extLst>
        </c:ser>
        <c:ser>
          <c:idx val="1"/>
          <c:order val="1"/>
          <c:tx>
            <c:v>0.5</c:v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pass'!$Q$111:$Q$115</c:f>
                <c:numCache>
                  <c:formatCode>General</c:formatCode>
                  <c:ptCount val="5"/>
                  <c:pt idx="0">
                    <c:v>3.7071638106582253E-3</c:v>
                  </c:pt>
                  <c:pt idx="1">
                    <c:v>6.1647678745770122E-3</c:v>
                  </c:pt>
                  <c:pt idx="2">
                    <c:v>2.1386083423861918E-2</c:v>
                  </c:pt>
                  <c:pt idx="3">
                    <c:v>0.25219791990155543</c:v>
                  </c:pt>
                  <c:pt idx="4">
                    <c:v>0.43278431942361706</c:v>
                  </c:pt>
                </c:numCache>
              </c:numRef>
            </c:plus>
            <c:minus>
              <c:numRef>
                <c:f>'Single pass'!$Q$111:$Q$115</c:f>
                <c:numCache>
                  <c:formatCode>General</c:formatCode>
                  <c:ptCount val="5"/>
                  <c:pt idx="0">
                    <c:v>3.7071638106582253E-3</c:v>
                  </c:pt>
                  <c:pt idx="1">
                    <c:v>6.1647678745770122E-3</c:v>
                  </c:pt>
                  <c:pt idx="2">
                    <c:v>2.1386083423861918E-2</c:v>
                  </c:pt>
                  <c:pt idx="3">
                    <c:v>0.25219791990155543</c:v>
                  </c:pt>
                  <c:pt idx="4">
                    <c:v>0.43278431942361706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pass'!$C$126:$C$130</c:f>
              <c:numCache>
                <c:formatCode>General</c:formatCode>
                <c:ptCount val="5"/>
                <c:pt idx="0">
                  <c:v>1.04391716072581</c:v>
                </c:pt>
                <c:pt idx="1">
                  <c:v>1.0290295519867041</c:v>
                </c:pt>
                <c:pt idx="2">
                  <c:v>1.0730934760321977</c:v>
                </c:pt>
                <c:pt idx="3">
                  <c:v>1.2633172625858451</c:v>
                </c:pt>
                <c:pt idx="4">
                  <c:v>1.5254275706114193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E-48BF-A642-6AAF1DE41163}"/>
            </c:ext>
          </c:extLst>
        </c:ser>
        <c:ser>
          <c:idx val="2"/>
          <c:order val="2"/>
          <c:tx>
            <c:v>1</c:v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pass'!$R$111:$R$115</c:f>
                <c:numCache>
                  <c:formatCode>General</c:formatCode>
                  <c:ptCount val="5"/>
                  <c:pt idx="0">
                    <c:v>3.1588790839325752E-3</c:v>
                  </c:pt>
                  <c:pt idx="1">
                    <c:v>5.5150431552011825E-3</c:v>
                  </c:pt>
                  <c:pt idx="2">
                    <c:v>7.7985251125457844E-2</c:v>
                  </c:pt>
                  <c:pt idx="3">
                    <c:v>0.38936104592061549</c:v>
                  </c:pt>
                  <c:pt idx="4">
                    <c:v>1.7455278756079295</c:v>
                  </c:pt>
                </c:numCache>
              </c:numRef>
            </c:plus>
            <c:minus>
              <c:numRef>
                <c:f>'Single pass'!$R$111:$R$115</c:f>
                <c:numCache>
                  <c:formatCode>General</c:formatCode>
                  <c:ptCount val="5"/>
                  <c:pt idx="0">
                    <c:v>3.1588790839325752E-3</c:v>
                  </c:pt>
                  <c:pt idx="1">
                    <c:v>5.5150431552011825E-3</c:v>
                  </c:pt>
                  <c:pt idx="2">
                    <c:v>7.7985251125457844E-2</c:v>
                  </c:pt>
                  <c:pt idx="3">
                    <c:v>0.38936104592061549</c:v>
                  </c:pt>
                  <c:pt idx="4">
                    <c:v>1.7455278756079295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pass'!$D$126:$D$130</c:f>
              <c:numCache>
                <c:formatCode>General</c:formatCode>
                <c:ptCount val="5"/>
                <c:pt idx="0">
                  <c:v>1.0492134218144626</c:v>
                </c:pt>
                <c:pt idx="1">
                  <c:v>1.0278284915278741</c:v>
                </c:pt>
                <c:pt idx="2">
                  <c:v>1.0710214977024914</c:v>
                </c:pt>
                <c:pt idx="3">
                  <c:v>1.300991814509624</c:v>
                </c:pt>
                <c:pt idx="4">
                  <c:v>1.9109122758924526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7E-48BF-A642-6AAF1DE41163}"/>
            </c:ext>
          </c:extLst>
        </c:ser>
        <c:ser>
          <c:idx val="3"/>
          <c:order val="3"/>
          <c:tx>
            <c:v>1.5</c:v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pass'!$S$111:$S$115</c:f>
                <c:numCache>
                  <c:formatCode>General</c:formatCode>
                  <c:ptCount val="5"/>
                  <c:pt idx="0">
                    <c:v>4.6700980641243579E-3</c:v>
                  </c:pt>
                  <c:pt idx="1">
                    <c:v>3.7355106769575448E-3</c:v>
                  </c:pt>
                  <c:pt idx="2">
                    <c:v>2.3919327152992682E-2</c:v>
                  </c:pt>
                  <c:pt idx="3">
                    <c:v>0.19900641375525585</c:v>
                  </c:pt>
                  <c:pt idx="4">
                    <c:v>0.86252586605230497</c:v>
                  </c:pt>
                </c:numCache>
              </c:numRef>
            </c:plus>
            <c:minus>
              <c:numRef>
                <c:f>'Single pass'!$S$111:$S$115</c:f>
                <c:numCache>
                  <c:formatCode>General</c:formatCode>
                  <c:ptCount val="5"/>
                  <c:pt idx="0">
                    <c:v>4.6700980641243579E-3</c:v>
                  </c:pt>
                  <c:pt idx="1">
                    <c:v>3.7355106769575448E-3</c:v>
                  </c:pt>
                  <c:pt idx="2">
                    <c:v>2.3919327152992682E-2</c:v>
                  </c:pt>
                  <c:pt idx="3">
                    <c:v>0.19900641375525585</c:v>
                  </c:pt>
                  <c:pt idx="4">
                    <c:v>0.86252586605230497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pass'!$E$126:$E$130</c:f>
              <c:numCache>
                <c:formatCode>General</c:formatCode>
                <c:ptCount val="5"/>
                <c:pt idx="0">
                  <c:v>1.0599528561994938</c:v>
                </c:pt>
                <c:pt idx="1">
                  <c:v>1.053724176125922</c:v>
                </c:pt>
                <c:pt idx="2">
                  <c:v>1.0690697900781969</c:v>
                </c:pt>
                <c:pt idx="3">
                  <c:v>1.3121799337028037</c:v>
                </c:pt>
                <c:pt idx="4">
                  <c:v>1.9888816918269103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7E-48BF-A642-6AAF1DE41163}"/>
            </c:ext>
          </c:extLst>
        </c:ser>
        <c:ser>
          <c:idx val="4"/>
          <c:order val="4"/>
          <c:tx>
            <c:v>2</c:v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pass'!$T$111:$T$115</c:f>
                <c:numCache>
                  <c:formatCode>General</c:formatCode>
                  <c:ptCount val="5"/>
                  <c:pt idx="0">
                    <c:v>1.2373163505861887E-2</c:v>
                  </c:pt>
                  <c:pt idx="1">
                    <c:v>7.9826988127281936E-3</c:v>
                  </c:pt>
                  <c:pt idx="2">
                    <c:v>7.4306965159986374E-2</c:v>
                  </c:pt>
                  <c:pt idx="3">
                    <c:v>0.24587163033291634</c:v>
                  </c:pt>
                  <c:pt idx="4">
                    <c:v>1.1109594481744163</c:v>
                  </c:pt>
                </c:numCache>
              </c:numRef>
            </c:plus>
            <c:minus>
              <c:numRef>
                <c:f>'Single pass'!$T$111:$T$115</c:f>
                <c:numCache>
                  <c:formatCode>General</c:formatCode>
                  <c:ptCount val="5"/>
                  <c:pt idx="0">
                    <c:v>1.2373163505861887E-2</c:v>
                  </c:pt>
                  <c:pt idx="1">
                    <c:v>7.9826988127281936E-3</c:v>
                  </c:pt>
                  <c:pt idx="2">
                    <c:v>7.4306965159986374E-2</c:v>
                  </c:pt>
                  <c:pt idx="3">
                    <c:v>0.24587163033291634</c:v>
                  </c:pt>
                  <c:pt idx="4">
                    <c:v>1.1109594481744163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pass'!$F$126:$F$130</c:f>
              <c:numCache>
                <c:formatCode>General</c:formatCode>
                <c:ptCount val="5"/>
                <c:pt idx="0">
                  <c:v>1.0824969002424341</c:v>
                </c:pt>
                <c:pt idx="1">
                  <c:v>1.0881916344467251</c:v>
                </c:pt>
                <c:pt idx="2">
                  <c:v>1.1046815234354606</c:v>
                </c:pt>
                <c:pt idx="3">
                  <c:v>1.3362087544723527</c:v>
                </c:pt>
                <c:pt idx="4">
                  <c:v>2.0129590365532692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7E-48BF-A642-6AAF1DE41163}"/>
            </c:ext>
          </c:extLst>
        </c:ser>
        <c:ser>
          <c:idx val="5"/>
          <c:order val="5"/>
          <c:tx>
            <c:v>2.5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pass'!$U$111:$U$115</c:f>
                <c:numCache>
                  <c:formatCode>General</c:formatCode>
                  <c:ptCount val="5"/>
                  <c:pt idx="0">
                    <c:v>5.4899551286463604E-3</c:v>
                  </c:pt>
                  <c:pt idx="1">
                    <c:v>5.7586380916798486E-3</c:v>
                  </c:pt>
                  <c:pt idx="2">
                    <c:v>5.1861845364470055E-2</c:v>
                  </c:pt>
                  <c:pt idx="3">
                    <c:v>0.23810445704195873</c:v>
                  </c:pt>
                  <c:pt idx="4">
                    <c:v>0.93920494901683915</c:v>
                  </c:pt>
                </c:numCache>
              </c:numRef>
            </c:plus>
            <c:minus>
              <c:numRef>
                <c:f>'Single pass'!$U$111:$U$115</c:f>
                <c:numCache>
                  <c:formatCode>General</c:formatCode>
                  <c:ptCount val="5"/>
                  <c:pt idx="0">
                    <c:v>5.4899551286463604E-3</c:v>
                  </c:pt>
                  <c:pt idx="1">
                    <c:v>5.7586380916798486E-3</c:v>
                  </c:pt>
                  <c:pt idx="2">
                    <c:v>5.1861845364470055E-2</c:v>
                  </c:pt>
                  <c:pt idx="3">
                    <c:v>0.23810445704195873</c:v>
                  </c:pt>
                  <c:pt idx="4">
                    <c:v>0.93920494901683915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pass'!$G$126:$G$130</c:f>
              <c:numCache>
                <c:formatCode>General</c:formatCode>
                <c:ptCount val="5"/>
                <c:pt idx="0">
                  <c:v>1.0680381313958143</c:v>
                </c:pt>
                <c:pt idx="1">
                  <c:v>1.1638888588826144</c:v>
                </c:pt>
                <c:pt idx="2">
                  <c:v>1.1162791349839258</c:v>
                </c:pt>
                <c:pt idx="3">
                  <c:v>1.3605666277253721</c:v>
                </c:pt>
                <c:pt idx="4">
                  <c:v>2.0167320561724611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7E-48BF-A642-6AAF1DE41163}"/>
            </c:ext>
          </c:extLst>
        </c:ser>
        <c:ser>
          <c:idx val="6"/>
          <c:order val="6"/>
          <c:tx>
            <c:v>3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pass'!$V$111:$V$115</c:f>
                <c:numCache>
                  <c:formatCode>General</c:formatCode>
                  <c:ptCount val="5"/>
                  <c:pt idx="0">
                    <c:v>7.1580161986379972E-3</c:v>
                  </c:pt>
                  <c:pt idx="1">
                    <c:v>6.6086864769263953E-2</c:v>
                  </c:pt>
                  <c:pt idx="2">
                    <c:v>4.7638453620650285E-2</c:v>
                  </c:pt>
                  <c:pt idx="3">
                    <c:v>0.81925179986405816</c:v>
                  </c:pt>
                  <c:pt idx="4">
                    <c:v>1.3233878953935374</c:v>
                  </c:pt>
                </c:numCache>
              </c:numRef>
            </c:plus>
            <c:minus>
              <c:numRef>
                <c:f>'Single pass'!$V$111:$V$115</c:f>
                <c:numCache>
                  <c:formatCode>General</c:formatCode>
                  <c:ptCount val="5"/>
                  <c:pt idx="0">
                    <c:v>7.1580161986379972E-3</c:v>
                  </c:pt>
                  <c:pt idx="1">
                    <c:v>6.6086864769263953E-2</c:v>
                  </c:pt>
                  <c:pt idx="2">
                    <c:v>4.7638453620650285E-2</c:v>
                  </c:pt>
                  <c:pt idx="3">
                    <c:v>0.81925179986405816</c:v>
                  </c:pt>
                  <c:pt idx="4">
                    <c:v>1.3233878953935374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pass'!$H$126:$H$130</c:f>
              <c:numCache>
                <c:formatCode>General</c:formatCode>
                <c:ptCount val="5"/>
                <c:pt idx="0">
                  <c:v>1.0877367947868251</c:v>
                </c:pt>
                <c:pt idx="1">
                  <c:v>1.2885193510994428</c:v>
                </c:pt>
                <c:pt idx="2">
                  <c:v>1.1277749515449547</c:v>
                </c:pt>
                <c:pt idx="3">
                  <c:v>1.4396825750600155</c:v>
                </c:pt>
                <c:pt idx="4">
                  <c:v>2.4118014983075753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7E-48BF-A642-6AAF1DE41163}"/>
            </c:ext>
          </c:extLst>
        </c:ser>
        <c:ser>
          <c:idx val="8"/>
          <c:order val="7"/>
          <c:tx>
            <c:v>4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pass'!$W$111:$W$115</c:f>
                <c:numCache>
                  <c:formatCode>General</c:formatCode>
                  <c:ptCount val="5"/>
                  <c:pt idx="0">
                    <c:v>2.5286158879300425E-3</c:v>
                  </c:pt>
                  <c:pt idx="2">
                    <c:v>4.5951125570174063E-2</c:v>
                  </c:pt>
                  <c:pt idx="3">
                    <c:v>0.27840009135468541</c:v>
                  </c:pt>
                  <c:pt idx="4">
                    <c:v>1.3260571743152789</c:v>
                  </c:pt>
                </c:numCache>
              </c:numRef>
            </c:plus>
            <c:minus>
              <c:numRef>
                <c:f>'Single pass'!$W$111:$W$115</c:f>
                <c:numCache>
                  <c:formatCode>General</c:formatCode>
                  <c:ptCount val="5"/>
                  <c:pt idx="0">
                    <c:v>2.5286158879300425E-3</c:v>
                  </c:pt>
                  <c:pt idx="2">
                    <c:v>4.5951125570174063E-2</c:v>
                  </c:pt>
                  <c:pt idx="3">
                    <c:v>0.27840009135468541</c:v>
                  </c:pt>
                  <c:pt idx="4">
                    <c:v>1.3260571743152789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pass'!$I$126:$I$130</c:f>
              <c:numCache>
                <c:formatCode>General</c:formatCode>
                <c:ptCount val="5"/>
                <c:pt idx="0">
                  <c:v>1.1810020772082279</c:v>
                </c:pt>
                <c:pt idx="2">
                  <c:v>1.1280948658610832</c:v>
                </c:pt>
                <c:pt idx="3">
                  <c:v>1.4524337645390069</c:v>
                </c:pt>
                <c:pt idx="4">
                  <c:v>2.3584391968342393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7E-48BF-A642-6AAF1DE41163}"/>
            </c:ext>
          </c:extLst>
        </c:ser>
        <c:ser>
          <c:idx val="12"/>
          <c:order val="8"/>
          <c:tx>
            <c:v>6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pass'!$X$111:$X$115</c:f>
                <c:numCache>
                  <c:formatCode>General</c:formatCode>
                  <c:ptCount val="5"/>
                  <c:pt idx="0">
                    <c:v>4.3421035680862637E-3</c:v>
                  </c:pt>
                  <c:pt idx="2">
                    <c:v>6.0905383592245899E-2</c:v>
                  </c:pt>
                  <c:pt idx="3">
                    <c:v>0.63014584838323728</c:v>
                  </c:pt>
                  <c:pt idx="4">
                    <c:v>1.1109081163407422</c:v>
                  </c:pt>
                </c:numCache>
              </c:numRef>
            </c:plus>
            <c:minus>
              <c:numRef>
                <c:f>'Single pass'!$X$111:$X$115</c:f>
                <c:numCache>
                  <c:formatCode>General</c:formatCode>
                  <c:ptCount val="5"/>
                  <c:pt idx="0">
                    <c:v>4.3421035680862637E-3</c:v>
                  </c:pt>
                  <c:pt idx="2">
                    <c:v>6.0905383592245899E-2</c:v>
                  </c:pt>
                  <c:pt idx="3">
                    <c:v>0.63014584838323728</c:v>
                  </c:pt>
                  <c:pt idx="4">
                    <c:v>1.1109081163407422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pass'!$J$126:$J$130</c:f>
              <c:numCache>
                <c:formatCode>General</c:formatCode>
                <c:ptCount val="5"/>
                <c:pt idx="0">
                  <c:v>1.1824857230134691</c:v>
                </c:pt>
                <c:pt idx="2">
                  <c:v>1.1828721779101159</c:v>
                </c:pt>
                <c:pt idx="3">
                  <c:v>1.4815698800877235</c:v>
                </c:pt>
                <c:pt idx="4">
                  <c:v>2.7981187673814025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7E-48BF-A642-6AAF1DE41163}"/>
            </c:ext>
          </c:extLst>
        </c:ser>
        <c:ser>
          <c:idx val="16"/>
          <c:order val="9"/>
          <c:tx>
            <c:v>8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pass'!$Y$111:$Y$115</c:f>
                <c:numCache>
                  <c:formatCode>General</c:formatCode>
                  <c:ptCount val="5"/>
                  <c:pt idx="0">
                    <c:v>0</c:v>
                  </c:pt>
                  <c:pt idx="2">
                    <c:v>4.2520292445328005E-2</c:v>
                  </c:pt>
                  <c:pt idx="3">
                    <c:v>0.23804983914892375</c:v>
                  </c:pt>
                  <c:pt idx="4">
                    <c:v>0.99013560247338361</c:v>
                  </c:pt>
                </c:numCache>
              </c:numRef>
            </c:plus>
            <c:minus>
              <c:numRef>
                <c:f>'Single pass'!$Y$111:$Y$115</c:f>
                <c:numCache>
                  <c:formatCode>General</c:formatCode>
                  <c:ptCount val="5"/>
                  <c:pt idx="0">
                    <c:v>0</c:v>
                  </c:pt>
                  <c:pt idx="2">
                    <c:v>4.2520292445328005E-2</c:v>
                  </c:pt>
                  <c:pt idx="3">
                    <c:v>0.23804983914892375</c:v>
                  </c:pt>
                  <c:pt idx="4">
                    <c:v>0.99013560247338361</c:v>
                  </c:pt>
                </c:numCache>
              </c:numRef>
            </c:minus>
          </c:errBars>
          <c:cat>
            <c:numRef>
              <c:f>'Single pass'!$A$126:$A$130</c:f>
              <c:numCache>
                <c:formatCode>General</c:formatCode>
                <c:ptCount val="5"/>
                <c:pt idx="0">
                  <c:v>3</c:v>
                </c:pt>
                <c:pt idx="1">
                  <c:v>2.2999999999999998</c:v>
                </c:pt>
                <c:pt idx="2">
                  <c:v>0.6</c:v>
                </c:pt>
                <c:pt idx="3">
                  <c:v>0.06</c:v>
                </c:pt>
                <c:pt idx="4">
                  <c:v>6.0000000000000001E-3</c:v>
                </c:pt>
              </c:numCache>
            </c:numRef>
          </c:cat>
          <c:val>
            <c:numRef>
              <c:f>'Single pass'!$K$126:$K$130</c:f>
              <c:numCache>
                <c:formatCode>General</c:formatCode>
                <c:ptCount val="5"/>
                <c:pt idx="0">
                  <c:v>1.7485733380133592</c:v>
                </c:pt>
                <c:pt idx="2">
                  <c:v>1.2035661695567892</c:v>
                </c:pt>
                <c:pt idx="3">
                  <c:v>1.4876152809321359</c:v>
                </c:pt>
                <c:pt idx="4">
                  <c:v>2.8150949009357373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7E-48BF-A642-6AAF1DE41163}"/>
            </c:ext>
          </c:extLst>
        </c:ser>
        <c:ser>
          <c:idx val="7"/>
          <c:order val="10"/>
          <c:tx>
            <c:v>10</c:v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pass'!$Z$111:$Z$115</c:f>
                <c:numCache>
                  <c:formatCode>General</c:formatCode>
                  <c:ptCount val="5"/>
                  <c:pt idx="2">
                    <c:v>4.1068001392009452E-2</c:v>
                  </c:pt>
                  <c:pt idx="3">
                    <c:v>0.9380458304902809</c:v>
                  </c:pt>
                  <c:pt idx="4">
                    <c:v>0.42883525627916286</c:v>
                  </c:pt>
                </c:numCache>
              </c:numRef>
            </c:plus>
            <c:minus>
              <c:numRef>
                <c:f>'Single pass'!$Z$111:$Z$115</c:f>
                <c:numCache>
                  <c:formatCode>General</c:formatCode>
                  <c:ptCount val="5"/>
                  <c:pt idx="2">
                    <c:v>4.1068001392009452E-2</c:v>
                  </c:pt>
                  <c:pt idx="3">
                    <c:v>0.9380458304902809</c:v>
                  </c:pt>
                  <c:pt idx="4">
                    <c:v>0.42883525627916286</c:v>
                  </c:pt>
                </c:numCache>
              </c:numRef>
            </c:minus>
          </c:errBars>
          <c:val>
            <c:numRef>
              <c:f>'Single pass'!$L$126:$L$130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1.2099884002431005</c:v>
                </c:pt>
                <c:pt idx="3">
                  <c:v>1.6001815894218803</c:v>
                </c:pt>
                <c:pt idx="4">
                  <c:v>2.8032211489582912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7E-48BF-A642-6AAF1DE41163}"/>
            </c:ext>
          </c:extLst>
        </c:ser>
        <c:ser>
          <c:idx val="9"/>
          <c:order val="11"/>
          <c:tx>
            <c:v>12</c:v>
          </c:tx>
          <c:spPr>
            <a:solidFill>
              <a:schemeClr val="tx1">
                <a:lumMod val="95000"/>
                <a:lumOff val="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pass'!$AA$111:$AA$115</c:f>
                <c:numCache>
                  <c:formatCode>General</c:formatCode>
                  <c:ptCount val="5"/>
                  <c:pt idx="2">
                    <c:v>2.9704994406540928E-2</c:v>
                  </c:pt>
                  <c:pt idx="3">
                    <c:v>0.20251443489268278</c:v>
                  </c:pt>
                  <c:pt idx="4">
                    <c:v>0.82047343752030133</c:v>
                  </c:pt>
                </c:numCache>
              </c:numRef>
            </c:plus>
            <c:minus>
              <c:numRef>
                <c:f>'Single pass'!$AA$111:$AA$115</c:f>
                <c:numCache>
                  <c:formatCode>General</c:formatCode>
                  <c:ptCount val="5"/>
                  <c:pt idx="2">
                    <c:v>2.9704994406540928E-2</c:v>
                  </c:pt>
                  <c:pt idx="3">
                    <c:v>0.20251443489268278</c:v>
                  </c:pt>
                  <c:pt idx="4">
                    <c:v>0.82047343752030133</c:v>
                  </c:pt>
                </c:numCache>
              </c:numRef>
            </c:minus>
          </c:errBars>
          <c:val>
            <c:numRef>
              <c:f>'Single pass'!$M$126:$M$130</c:f>
              <c:numCache>
                <c:formatCode>General</c:formatCode>
                <c:ptCount val="5"/>
                <c:pt idx="2">
                  <c:v>1.2222166811955335</c:v>
                </c:pt>
                <c:pt idx="3">
                  <c:v>1.7236216480397981</c:v>
                </c:pt>
                <c:pt idx="4">
                  <c:v>3.7981496274143578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37E-48BF-A642-6AAF1DE41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577600"/>
        <c:axId val="126476288"/>
      </c:barChart>
      <c:catAx>
        <c:axId val="11757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GB" sz="1000" b="0">
                    <a:effectLst/>
                  </a:rPr>
                  <a:t>Aqueous ammonia concentrations, (mol L</a:t>
                </a:r>
                <a:r>
                  <a:rPr lang="en-GB" sz="1000" b="0" baseline="30000">
                    <a:effectLst/>
                  </a:rPr>
                  <a:t>-1</a:t>
                </a:r>
                <a:r>
                  <a:rPr lang="en-GB" sz="1000" b="0">
                    <a:effectLst/>
                  </a:rPr>
                  <a:t>) </a:t>
                </a:r>
                <a:r>
                  <a:rPr lang="en-GB" sz="1000" b="0" baseline="0">
                    <a:effectLst/>
                  </a:rPr>
                  <a:t> </a:t>
                </a:r>
                <a:endParaRPr lang="en-GB" sz="1000" b="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6476288"/>
        <c:crosses val="autoZero"/>
        <c:auto val="1"/>
        <c:lblAlgn val="ctr"/>
        <c:lblOffset val="100"/>
        <c:noMultiLvlLbl val="0"/>
      </c:catAx>
      <c:valAx>
        <c:axId val="126476288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sz="1000" b="0" i="0" baseline="0">
                    <a:effectLst/>
                  </a:rPr>
                  <a:t>JCO</a:t>
                </a:r>
                <a:r>
                  <a:rPr lang="en-US" sz="1000" b="0" i="0" baseline="-25000">
                    <a:effectLst/>
                  </a:rPr>
                  <a:t>2</a:t>
                </a:r>
                <a:r>
                  <a:rPr lang="en-US" sz="1000" b="0" i="0" baseline="0">
                    <a:effectLst/>
                  </a:rPr>
                  <a:t>(t)/JCO</a:t>
                </a:r>
                <a:r>
                  <a:rPr lang="en-US" sz="1000" b="0" i="0" baseline="-25000">
                    <a:effectLst/>
                  </a:rPr>
                  <a:t>2init </a:t>
                </a:r>
                <a:r>
                  <a:rPr lang="en-US" sz="1000" b="0" i="0" baseline="0">
                    <a:effectLst/>
                  </a:rPr>
                  <a:t>(-)</a:t>
                </a:r>
                <a:endParaRPr lang="en-GB" sz="1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5.1746438215241712E-3"/>
              <c:y val="0.309446743466303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577600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91053459288300431"/>
          <c:y val="6.0266979513590405E-2"/>
          <c:w val="4.9656337097082198E-2"/>
          <c:h val="0.8959537475543497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Single Pass; Ql=4.55ml/min; Qg=50ml/min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1min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pass'!$B$202:$B$206</c:f>
                <c:numCache>
                  <c:formatCode>General</c:formatCode>
                  <c:ptCount val="5"/>
                  <c:pt idx="0">
                    <c:v>1.6410883489288827E-3</c:v>
                  </c:pt>
                  <c:pt idx="1">
                    <c:v>4.8814675240080102E-4</c:v>
                  </c:pt>
                  <c:pt idx="2">
                    <c:v>5.635247187208563E-4</c:v>
                  </c:pt>
                  <c:pt idx="3">
                    <c:v>6.4431059928043185E-4</c:v>
                  </c:pt>
                  <c:pt idx="4">
                    <c:v>5.9427568441488047E-4</c:v>
                  </c:pt>
                </c:numCache>
              </c:numRef>
            </c:plus>
            <c:minus>
              <c:numRef>
                <c:f>'Single pass'!$B$202:$B$206</c:f>
                <c:numCache>
                  <c:formatCode>General</c:formatCode>
                  <c:ptCount val="5"/>
                  <c:pt idx="0">
                    <c:v>1.6410883489288827E-3</c:v>
                  </c:pt>
                  <c:pt idx="1">
                    <c:v>4.8814675240080102E-4</c:v>
                  </c:pt>
                  <c:pt idx="2">
                    <c:v>5.635247187208563E-4</c:v>
                  </c:pt>
                  <c:pt idx="3">
                    <c:v>6.4431059928043185E-4</c:v>
                  </c:pt>
                  <c:pt idx="4">
                    <c:v>5.9427568441488047E-4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pass'!$C$159:$G$159</c:f>
              <c:numCache>
                <c:formatCode>General</c:formatCode>
                <c:ptCount val="5"/>
                <c:pt idx="0">
                  <c:v>8.8543429638314518E-4</c:v>
                </c:pt>
                <c:pt idx="1">
                  <c:v>1.7946690585276467E-3</c:v>
                </c:pt>
                <c:pt idx="2">
                  <c:v>1.0353691752635752E-2</c:v>
                </c:pt>
                <c:pt idx="3">
                  <c:v>4.2611083001830322E-2</c:v>
                </c:pt>
                <c:pt idx="4">
                  <c:v>5.5544470842055327E-2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0-425B-9FB9-60634CE188CA}"/>
            </c:ext>
          </c:extLst>
        </c:ser>
        <c:ser>
          <c:idx val="1"/>
          <c:order val="1"/>
          <c:tx>
            <c:v>30 min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pass'!$C$202:$C$206</c:f>
                <c:numCache>
                  <c:formatCode>General</c:formatCode>
                  <c:ptCount val="5"/>
                  <c:pt idx="0">
                    <c:v>1.0854032333372871E-2</c:v>
                  </c:pt>
                  <c:pt idx="1">
                    <c:v>1.3203782489427825E-2</c:v>
                  </c:pt>
                  <c:pt idx="2">
                    <c:v>6.7176227788112693E-3</c:v>
                  </c:pt>
                  <c:pt idx="3">
                    <c:v>7.3081583386264189E-3</c:v>
                  </c:pt>
                  <c:pt idx="4">
                    <c:v>6.0462903344771527E-3</c:v>
                  </c:pt>
                </c:numCache>
              </c:numRef>
            </c:plus>
            <c:minus>
              <c:numRef>
                <c:f>'Single pass'!$C$202:$C$206</c:f>
                <c:numCache>
                  <c:formatCode>General</c:formatCode>
                  <c:ptCount val="5"/>
                  <c:pt idx="0">
                    <c:v>1.0854032333372871E-2</c:v>
                  </c:pt>
                  <c:pt idx="1">
                    <c:v>1.3203782489427825E-2</c:v>
                  </c:pt>
                  <c:pt idx="2">
                    <c:v>6.7176227788112693E-3</c:v>
                  </c:pt>
                  <c:pt idx="3">
                    <c:v>7.3081583386264189E-3</c:v>
                  </c:pt>
                  <c:pt idx="4">
                    <c:v>6.0462903344771527E-3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pass'!$C$160:$G$160</c:f>
              <c:numCache>
                <c:formatCode>General</c:formatCode>
                <c:ptCount val="5"/>
                <c:pt idx="0">
                  <c:v>4.0054745038748549E-2</c:v>
                </c:pt>
                <c:pt idx="1">
                  <c:v>6.7544524724260868E-2</c:v>
                </c:pt>
                <c:pt idx="2">
                  <c:v>0.33255758485808784</c:v>
                </c:pt>
                <c:pt idx="3">
                  <c:v>1.3142049288820399</c:v>
                </c:pt>
                <c:pt idx="4">
                  <c:v>1.7370754334102776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C0-425B-9FB9-60634CE188CA}"/>
            </c:ext>
          </c:extLst>
        </c:ser>
        <c:ser>
          <c:idx val="2"/>
          <c:order val="2"/>
          <c:tx>
            <c:v>1 hour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pass'!$D$202:$D$206</c:f>
                <c:numCache>
                  <c:formatCode>General</c:formatCode>
                  <c:ptCount val="5"/>
                  <c:pt idx="0">
                    <c:v>5.3840924442926728E-2</c:v>
                  </c:pt>
                  <c:pt idx="1">
                    <c:v>1.428667729625043E-2</c:v>
                  </c:pt>
                  <c:pt idx="2">
                    <c:v>2.5751485197646522E-2</c:v>
                  </c:pt>
                  <c:pt idx="3">
                    <c:v>1.3905074194517086E-2</c:v>
                  </c:pt>
                  <c:pt idx="4">
                    <c:v>5.592957772800387E-3</c:v>
                  </c:pt>
                </c:numCache>
              </c:numRef>
            </c:plus>
            <c:minus>
              <c:numRef>
                <c:f>'Single pass'!$D$202:$D$206</c:f>
                <c:numCache>
                  <c:formatCode>General</c:formatCode>
                  <c:ptCount val="5"/>
                  <c:pt idx="0">
                    <c:v>5.3840924442926728E-2</c:v>
                  </c:pt>
                  <c:pt idx="1">
                    <c:v>1.428667729625043E-2</c:v>
                  </c:pt>
                  <c:pt idx="2">
                    <c:v>2.5751485197646522E-2</c:v>
                  </c:pt>
                  <c:pt idx="3">
                    <c:v>1.3905074194517086E-2</c:v>
                  </c:pt>
                  <c:pt idx="4">
                    <c:v>5.592957772800387E-3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pass'!$C$161:$G$161</c:f>
              <c:numCache>
                <c:formatCode>General</c:formatCode>
                <c:ptCount val="5"/>
                <c:pt idx="0">
                  <c:v>9.0814363032391016E-2</c:v>
                </c:pt>
                <c:pt idx="1">
                  <c:v>0.13759001737120571</c:v>
                </c:pt>
                <c:pt idx="2">
                  <c:v>0.665228378287824</c:v>
                </c:pt>
                <c:pt idx="3">
                  <c:v>2.6281114838062485</c:v>
                </c:pt>
                <c:pt idx="4">
                  <c:v>3.4854155628622738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C0-425B-9FB9-60634CE188CA}"/>
            </c:ext>
          </c:extLst>
        </c:ser>
        <c:ser>
          <c:idx val="3"/>
          <c:order val="3"/>
          <c:tx>
            <c:v>1.5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pass'!$E$202:$E$206</c:f>
                <c:numCache>
                  <c:formatCode>General</c:formatCode>
                  <c:ptCount val="5"/>
                  <c:pt idx="0">
                    <c:v>7.383906396209744E-2</c:v>
                  </c:pt>
                  <c:pt idx="1">
                    <c:v>1.1716956541014152E-2</c:v>
                  </c:pt>
                  <c:pt idx="2">
                    <c:v>2.1304902301995002E-2</c:v>
                  </c:pt>
                  <c:pt idx="3">
                    <c:v>1.4652702215221461E-2</c:v>
                  </c:pt>
                  <c:pt idx="4">
                    <c:v>1.1483321335885822E-2</c:v>
                  </c:pt>
                </c:numCache>
              </c:numRef>
            </c:plus>
            <c:minus>
              <c:numRef>
                <c:f>'Single pass'!$E$202:$E$206</c:f>
                <c:numCache>
                  <c:formatCode>General</c:formatCode>
                  <c:ptCount val="5"/>
                  <c:pt idx="0">
                    <c:v>7.383906396209744E-2</c:v>
                  </c:pt>
                  <c:pt idx="1">
                    <c:v>1.1716956541014152E-2</c:v>
                  </c:pt>
                  <c:pt idx="2">
                    <c:v>2.1304902301995002E-2</c:v>
                  </c:pt>
                  <c:pt idx="3">
                    <c:v>1.4652702215221461E-2</c:v>
                  </c:pt>
                  <c:pt idx="4">
                    <c:v>1.1483321335885822E-2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pass'!$C$162:$G$162</c:f>
              <c:numCache>
                <c:formatCode>General</c:formatCode>
                <c:ptCount val="5"/>
                <c:pt idx="0">
                  <c:v>0.14364508487415339</c:v>
                </c:pt>
                <c:pt idx="1">
                  <c:v>0.20823787915832415</c:v>
                </c:pt>
                <c:pt idx="2">
                  <c:v>0.99729295034356391</c:v>
                </c:pt>
                <c:pt idx="3">
                  <c:v>3.9751213337043558</c:v>
                </c:pt>
                <c:pt idx="4">
                  <c:v>5.2516511783160542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C0-425B-9FB9-60634CE188CA}"/>
            </c:ext>
          </c:extLst>
        </c:ser>
        <c:ser>
          <c:idx val="4"/>
          <c:order val="4"/>
          <c:tx>
            <c:v>2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pass'!$F$202:$F$206</c:f>
                <c:numCache>
                  <c:formatCode>General</c:formatCode>
                  <c:ptCount val="5"/>
                  <c:pt idx="0">
                    <c:v>9.2014283050981902E-2</c:v>
                  </c:pt>
                  <c:pt idx="1">
                    <c:v>1.7146313376554517E-2</c:v>
                  </c:pt>
                  <c:pt idx="2">
                    <c:v>3.4726197849998766E-2</c:v>
                  </c:pt>
                  <c:pt idx="3">
                    <c:v>1.1071960201883856E-2</c:v>
                  </c:pt>
                  <c:pt idx="4">
                    <c:v>2.6527230845544085E-2</c:v>
                  </c:pt>
                </c:numCache>
              </c:numRef>
            </c:plus>
            <c:minus>
              <c:numRef>
                <c:f>'Single pass'!$F$202:$F$206</c:f>
                <c:numCache>
                  <c:formatCode>General</c:formatCode>
                  <c:ptCount val="5"/>
                  <c:pt idx="0">
                    <c:v>9.2014283050981902E-2</c:v>
                  </c:pt>
                  <c:pt idx="1">
                    <c:v>1.7146313376554517E-2</c:v>
                  </c:pt>
                  <c:pt idx="2">
                    <c:v>3.4726197849998766E-2</c:v>
                  </c:pt>
                  <c:pt idx="3">
                    <c:v>1.1071960201883856E-2</c:v>
                  </c:pt>
                  <c:pt idx="4">
                    <c:v>2.6527230845544085E-2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pass'!$C$163:$G$163</c:f>
              <c:numCache>
                <c:formatCode>General</c:formatCode>
                <c:ptCount val="5"/>
                <c:pt idx="0">
                  <c:v>0.19711537391951253</c:v>
                </c:pt>
                <c:pt idx="1">
                  <c:v>0.28017945437988306</c:v>
                </c:pt>
                <c:pt idx="2">
                  <c:v>1.3404189096980488</c:v>
                </c:pt>
                <c:pt idx="3">
                  <c:v>5.3661920554235598</c:v>
                </c:pt>
                <c:pt idx="4">
                  <c:v>7.0554527036799888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C0-425B-9FB9-60634CE188CA}"/>
            </c:ext>
          </c:extLst>
        </c:ser>
        <c:ser>
          <c:idx val="5"/>
          <c:order val="5"/>
          <c:tx>
            <c:v>2.5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pass'!$G$202:$G$206</c:f>
                <c:numCache>
                  <c:formatCode>General</c:formatCode>
                  <c:ptCount val="5"/>
                  <c:pt idx="0">
                    <c:v>8.967268471849868E-2</c:v>
                  </c:pt>
                  <c:pt idx="1">
                    <c:v>2.6531643369191758E-2</c:v>
                  </c:pt>
                  <c:pt idx="2">
                    <c:v>4.9187725736867458E-2</c:v>
                  </c:pt>
                  <c:pt idx="3">
                    <c:v>1.6658252606133923E-2</c:v>
                  </c:pt>
                  <c:pt idx="4">
                    <c:v>3.3281918150464954E-2</c:v>
                  </c:pt>
                </c:numCache>
              </c:numRef>
            </c:plus>
            <c:minus>
              <c:numRef>
                <c:f>'Single pass'!$G$202:$G$206</c:f>
                <c:numCache>
                  <c:formatCode>General</c:formatCode>
                  <c:ptCount val="5"/>
                  <c:pt idx="0">
                    <c:v>8.967268471849868E-2</c:v>
                  </c:pt>
                  <c:pt idx="1">
                    <c:v>2.6531643369191758E-2</c:v>
                  </c:pt>
                  <c:pt idx="2">
                    <c:v>4.9187725736867458E-2</c:v>
                  </c:pt>
                  <c:pt idx="3">
                    <c:v>1.6658252606133923E-2</c:v>
                  </c:pt>
                  <c:pt idx="4">
                    <c:v>3.3281918150464954E-2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pass'!$C$164:$G$164</c:f>
              <c:numCache>
                <c:formatCode>General</c:formatCode>
                <c:ptCount val="5"/>
                <c:pt idx="0">
                  <c:v>0.25068588579402445</c:v>
                </c:pt>
                <c:pt idx="1">
                  <c:v>0.35343245924520389</c:v>
                </c:pt>
                <c:pt idx="2">
                  <c:v>1.6871472119037221</c:v>
                </c:pt>
                <c:pt idx="3">
                  <c:v>6.8540289985461396</c:v>
                </c:pt>
                <c:pt idx="4">
                  <c:v>8.8351610891055312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C0-425B-9FB9-60634CE188CA}"/>
            </c:ext>
          </c:extLst>
        </c:ser>
        <c:ser>
          <c:idx val="6"/>
          <c:order val="6"/>
          <c:tx>
            <c:v>3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pass'!$H$202:$H$206</c:f>
                <c:numCache>
                  <c:formatCode>General</c:formatCode>
                  <c:ptCount val="5"/>
                  <c:pt idx="0">
                    <c:v>9.6034219990716832E-2</c:v>
                  </c:pt>
                  <c:pt idx="1">
                    <c:v>6.3328169946943624E-2</c:v>
                  </c:pt>
                  <c:pt idx="2">
                    <c:v>3.6534083467038271E-2</c:v>
                  </c:pt>
                  <c:pt idx="3">
                    <c:v>7.1490400493833539E-2</c:v>
                  </c:pt>
                  <c:pt idx="4">
                    <c:v>3.4465559417095191E-2</c:v>
                  </c:pt>
                </c:numCache>
              </c:numRef>
            </c:plus>
            <c:minus>
              <c:numRef>
                <c:f>'Single pass'!$H$202:$H$206</c:f>
                <c:numCache>
                  <c:formatCode>General</c:formatCode>
                  <c:ptCount val="5"/>
                  <c:pt idx="0">
                    <c:v>9.6034219990716832E-2</c:v>
                  </c:pt>
                  <c:pt idx="1">
                    <c:v>6.3328169946943624E-2</c:v>
                  </c:pt>
                  <c:pt idx="2">
                    <c:v>3.6534083467038271E-2</c:v>
                  </c:pt>
                  <c:pt idx="3">
                    <c:v>7.1490400493833539E-2</c:v>
                  </c:pt>
                  <c:pt idx="4">
                    <c:v>3.4465559417095191E-2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pass'!$C$165:$G$165</c:f>
              <c:numCache>
                <c:formatCode>General</c:formatCode>
                <c:ptCount val="5"/>
                <c:pt idx="0">
                  <c:v>0.31475063867411801</c:v>
                </c:pt>
                <c:pt idx="1">
                  <c:v>0.43094507239205243</c:v>
                </c:pt>
                <c:pt idx="2">
                  <c:v>2.0374462383429273</c:v>
                </c:pt>
                <c:pt idx="3">
                  <c:v>8.501185149121028</c:v>
                </c:pt>
                <c:pt idx="4">
                  <c:v>10.647694029561556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C0-425B-9FB9-60634CE188CA}"/>
            </c:ext>
          </c:extLst>
        </c:ser>
        <c:ser>
          <c:idx val="8"/>
          <c:order val="7"/>
          <c:tx>
            <c:v>4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pass'!$I$202:$I$206</c:f>
                <c:numCache>
                  <c:formatCode>General</c:formatCode>
                  <c:ptCount val="5"/>
                  <c:pt idx="0">
                    <c:v>0.16416713928206211</c:v>
                  </c:pt>
                  <c:pt idx="1">
                    <c:v>8.9882284156491951E-2</c:v>
                  </c:pt>
                  <c:pt idx="2">
                    <c:v>1.0553333502347446E-2</c:v>
                  </c:pt>
                  <c:pt idx="4">
                    <c:v>4.455689848193161E-2</c:v>
                  </c:pt>
                </c:numCache>
              </c:numRef>
            </c:plus>
            <c:minus>
              <c:numRef>
                <c:f>'Single pass'!$I$202:$I$206</c:f>
                <c:numCache>
                  <c:formatCode>General</c:formatCode>
                  <c:ptCount val="5"/>
                  <c:pt idx="0">
                    <c:v>0.16416713928206211</c:v>
                  </c:pt>
                  <c:pt idx="1">
                    <c:v>8.9882284156491951E-2</c:v>
                  </c:pt>
                  <c:pt idx="2">
                    <c:v>1.0553333502347446E-2</c:v>
                  </c:pt>
                  <c:pt idx="4">
                    <c:v>4.455689848193161E-2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pass'!$C$166:$G$166</c:f>
              <c:numCache>
                <c:formatCode>General</c:formatCode>
                <c:ptCount val="5"/>
                <c:pt idx="0">
                  <c:v>0.44004521572279931</c:v>
                </c:pt>
                <c:pt idx="1">
                  <c:v>0.58734334859879145</c:v>
                </c:pt>
                <c:pt idx="2">
                  <c:v>2.7382430288743249</c:v>
                </c:pt>
                <c:pt idx="4">
                  <c:v>14.579633965261616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C0-425B-9FB9-60634CE188CA}"/>
            </c:ext>
          </c:extLst>
        </c:ser>
        <c:ser>
          <c:idx val="12"/>
          <c:order val="8"/>
          <c:tx>
            <c:v>6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pass'!$J$202:$J$206</c:f>
                <c:numCache>
                  <c:formatCode>General</c:formatCode>
                  <c:ptCount val="5"/>
                  <c:pt idx="0">
                    <c:v>0.21513023733435205</c:v>
                  </c:pt>
                  <c:pt idx="1">
                    <c:v>0.11066138660485958</c:v>
                  </c:pt>
                  <c:pt idx="2">
                    <c:v>8.1698410282239731E-2</c:v>
                  </c:pt>
                  <c:pt idx="4">
                    <c:v>8.4304905318905485E-2</c:v>
                  </c:pt>
                </c:numCache>
              </c:numRef>
            </c:plus>
            <c:minus>
              <c:numRef>
                <c:f>'Single pass'!$J$206</c:f>
                <c:numCache>
                  <c:formatCode>General</c:formatCode>
                  <c:ptCount val="1"/>
                  <c:pt idx="0">
                    <c:v>8.4304905318905485E-2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pass'!$C$167:$G$167</c:f>
              <c:numCache>
                <c:formatCode>General</c:formatCode>
                <c:ptCount val="5"/>
                <c:pt idx="0">
                  <c:v>0.73735125436193838</c:v>
                </c:pt>
                <c:pt idx="1">
                  <c:v>0.90641466321958575</c:v>
                </c:pt>
                <c:pt idx="2">
                  <c:v>4.2078942984163561</c:v>
                </c:pt>
                <c:pt idx="4">
                  <c:v>22.477111970758774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C0-425B-9FB9-60634CE188CA}"/>
            </c:ext>
          </c:extLst>
        </c:ser>
        <c:ser>
          <c:idx val="16"/>
          <c:order val="9"/>
          <c:tx>
            <c:v>8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pass'!$K$202:$K$206</c:f>
                <c:numCache>
                  <c:formatCode>General</c:formatCode>
                  <c:ptCount val="5"/>
                  <c:pt idx="0">
                    <c:v>0.26874660520238214</c:v>
                  </c:pt>
                  <c:pt idx="1">
                    <c:v>0.10213235879854383</c:v>
                  </c:pt>
                  <c:pt idx="2">
                    <c:v>0.10095467380925893</c:v>
                  </c:pt>
                  <c:pt idx="4">
                    <c:v>0.16128434644784043</c:v>
                  </c:pt>
                </c:numCache>
              </c:numRef>
            </c:plus>
            <c:minus>
              <c:numRef>
                <c:f>'Single pass'!$K$202:$K$206</c:f>
                <c:numCache>
                  <c:formatCode>General</c:formatCode>
                  <c:ptCount val="5"/>
                  <c:pt idx="0">
                    <c:v>0.26874660520238214</c:v>
                  </c:pt>
                  <c:pt idx="1">
                    <c:v>0.10213235879854383</c:v>
                  </c:pt>
                  <c:pt idx="2">
                    <c:v>0.10095467380925893</c:v>
                  </c:pt>
                  <c:pt idx="4">
                    <c:v>0.16128434644784043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pass'!$C$168:$G$168</c:f>
              <c:numCache>
                <c:formatCode>General</c:formatCode>
                <c:ptCount val="5"/>
                <c:pt idx="0">
                  <c:v>1.036461043105356</c:v>
                </c:pt>
                <c:pt idx="1">
                  <c:v>1.2267879171014038</c:v>
                </c:pt>
                <c:pt idx="2">
                  <c:v>5.7032566732353391</c:v>
                </c:pt>
                <c:pt idx="4">
                  <c:v>31.866335576484058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C0-425B-9FB9-60634CE188CA}"/>
            </c:ext>
          </c:extLst>
        </c:ser>
        <c:ser>
          <c:idx val="7"/>
          <c:order val="10"/>
          <c:tx>
            <c:v>10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pass'!$L$202:$L$206</c:f>
                <c:numCache>
                  <c:formatCode>General</c:formatCode>
                  <c:ptCount val="5"/>
                  <c:pt idx="0">
                    <c:v>0.27259901093209721</c:v>
                  </c:pt>
                  <c:pt idx="1">
                    <c:v>0.19395293487284293</c:v>
                  </c:pt>
                  <c:pt idx="2">
                    <c:v>0.1297506054412709</c:v>
                  </c:pt>
                </c:numCache>
              </c:numRef>
            </c:plus>
            <c:minus>
              <c:numRef>
                <c:f>'Single pass'!$L$202:$L$206</c:f>
                <c:numCache>
                  <c:formatCode>General</c:formatCode>
                  <c:ptCount val="5"/>
                  <c:pt idx="0">
                    <c:v>0.27259901093209721</c:v>
                  </c:pt>
                  <c:pt idx="1">
                    <c:v>0.19395293487284293</c:v>
                  </c:pt>
                  <c:pt idx="2">
                    <c:v>0.1297506054412709</c:v>
                  </c:pt>
                </c:numCache>
              </c:numRef>
            </c:minus>
          </c:errBars>
          <c:val>
            <c:numRef>
              <c:f>'Single pass'!$C$169:$G$169</c:f>
              <c:numCache>
                <c:formatCode>General</c:formatCode>
                <c:ptCount val="5"/>
                <c:pt idx="0">
                  <c:v>1.3343092205814644</c:v>
                </c:pt>
                <c:pt idx="1">
                  <c:v>1.5714034834887287</c:v>
                </c:pt>
                <c:pt idx="2">
                  <c:v>7.2065983036811696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C0-425B-9FB9-60634CE188CA}"/>
            </c:ext>
          </c:extLst>
        </c:ser>
        <c:ser>
          <c:idx val="9"/>
          <c:order val="11"/>
          <c:tx>
            <c:v>12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pass'!$M$202:$M$206</c:f>
                <c:numCache>
                  <c:formatCode>General</c:formatCode>
                  <c:ptCount val="5"/>
                  <c:pt idx="0">
                    <c:v>0.25294327819575624</c:v>
                  </c:pt>
                  <c:pt idx="1">
                    <c:v>0.18414023573115854</c:v>
                  </c:pt>
                  <c:pt idx="2">
                    <c:v>0.13232022593211143</c:v>
                  </c:pt>
                </c:numCache>
              </c:numRef>
            </c:plus>
            <c:minus>
              <c:numRef>
                <c:f>'Single pass'!$M$202:$M$206</c:f>
                <c:numCache>
                  <c:formatCode>General</c:formatCode>
                  <c:ptCount val="5"/>
                  <c:pt idx="0">
                    <c:v>0.25294327819575624</c:v>
                  </c:pt>
                  <c:pt idx="1">
                    <c:v>0.18414023573115854</c:v>
                  </c:pt>
                  <c:pt idx="2">
                    <c:v>0.13232022593211143</c:v>
                  </c:pt>
                </c:numCache>
              </c:numRef>
            </c:minus>
          </c:errBars>
          <c:val>
            <c:numRef>
              <c:f>'Single pass'!$C$170:$G$170</c:f>
              <c:numCache>
                <c:formatCode>General</c:formatCode>
                <c:ptCount val="5"/>
                <c:pt idx="0">
                  <c:v>1.737870653730369</c:v>
                </c:pt>
                <c:pt idx="1">
                  <c:v>1.9426031363301834</c:v>
                </c:pt>
                <c:pt idx="2">
                  <c:v>8.725132876324535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C0-425B-9FB9-60634CE18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560320"/>
        <c:axId val="127562496"/>
      </c:barChart>
      <c:catAx>
        <c:axId val="12756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1">
                    <a:effectLst/>
                  </a:rPr>
                  <a:t>[NH</a:t>
                </a:r>
                <a:r>
                  <a:rPr lang="en-GB" sz="1000" b="1" baseline="-25000">
                    <a:effectLst/>
                  </a:rPr>
                  <a:t>3</a:t>
                </a:r>
                <a:r>
                  <a:rPr lang="en-GB" sz="1000" b="1">
                    <a:effectLst/>
                  </a:rPr>
                  <a:t>] (mol/l)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562496"/>
        <c:crosses val="autoZero"/>
        <c:auto val="1"/>
        <c:lblAlgn val="ctr"/>
        <c:lblOffset val="100"/>
        <c:noMultiLvlLbl val="0"/>
      </c:catAx>
      <c:valAx>
        <c:axId val="12756249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Mass CO</a:t>
                </a:r>
                <a:r>
                  <a:rPr lang="en-US" sz="1000" b="1" i="0" baseline="-25000">
                    <a:effectLst/>
                  </a:rPr>
                  <a:t>2</a:t>
                </a:r>
                <a:r>
                  <a:rPr lang="en-US" sz="1000" b="1" i="0" baseline="0">
                    <a:effectLst/>
                  </a:rPr>
                  <a:t> absorbed (g)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560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1776906768575"/>
          <c:y val="0.14848564779601311"/>
          <c:w val="6.500258425685404E-2"/>
          <c:h val="0.6936204764117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Single Pass; Ql=4.55ml/min; Qg=50ml/min; normalized with priming volume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1min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pass'!$J$234:$J$238</c:f>
                <c:numCache>
                  <c:formatCode>General</c:formatCode>
                  <c:ptCount val="5"/>
                  <c:pt idx="0">
                    <c:v>1.5465941405662618E-2</c:v>
                  </c:pt>
                  <c:pt idx="1">
                    <c:v>4.6003916089727001E-3</c:v>
                  </c:pt>
                  <c:pt idx="2">
                    <c:v>5.3107684824328398E-3</c:v>
                  </c:pt>
                  <c:pt idx="3">
                    <c:v>6.0721106100244254E-3</c:v>
                  </c:pt>
                  <c:pt idx="4">
                    <c:v>5.6005716693860175E-3</c:v>
                  </c:pt>
                </c:numCache>
              </c:numRef>
            </c:plus>
            <c:minus>
              <c:numRef>
                <c:f>'Single pass'!$J$234:$J$238</c:f>
                <c:numCache>
                  <c:formatCode>General</c:formatCode>
                  <c:ptCount val="5"/>
                  <c:pt idx="0">
                    <c:v>1.5465941405662618E-2</c:v>
                  </c:pt>
                  <c:pt idx="1">
                    <c:v>4.6003916089727001E-3</c:v>
                  </c:pt>
                  <c:pt idx="2">
                    <c:v>5.3107684824328398E-3</c:v>
                  </c:pt>
                  <c:pt idx="3">
                    <c:v>6.0721106100244254E-3</c:v>
                  </c:pt>
                  <c:pt idx="4">
                    <c:v>5.6005716693860175E-3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pass'!$C$236:$G$236</c:f>
              <c:numCache>
                <c:formatCode>General</c:formatCode>
                <c:ptCount val="5"/>
                <c:pt idx="0">
                  <c:v>8.3445080548916056E-3</c:v>
                </c:pt>
                <c:pt idx="1">
                  <c:v>1.6913316409723111E-2</c:v>
                </c:pt>
                <c:pt idx="2">
                  <c:v>9.7575240286771489E-2</c:v>
                </c:pt>
                <c:pt idx="3">
                  <c:v>0.4015752798246775</c:v>
                </c:pt>
                <c:pt idx="4">
                  <c:v>0.52346208661614868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0-4FD2-B69F-3C3C3D619801}"/>
            </c:ext>
          </c:extLst>
        </c:ser>
        <c:ser>
          <c:idx val="1"/>
          <c:order val="1"/>
          <c:tx>
            <c:v>30 min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pass'!$K$234:$K$238</c:f>
                <c:numCache>
                  <c:formatCode>General</c:formatCode>
                  <c:ptCount val="5"/>
                  <c:pt idx="0">
                    <c:v>0.10229054894739693</c:v>
                  </c:pt>
                  <c:pt idx="1">
                    <c:v>0.12443505948225728</c:v>
                  </c:pt>
                  <c:pt idx="2">
                    <c:v>6.330820662412831E-2</c:v>
                  </c:pt>
                  <c:pt idx="3">
                    <c:v>6.8873530619038587E-2</c:v>
                  </c:pt>
                  <c:pt idx="4">
                    <c:v>5.6981436798134916E-2</c:v>
                  </c:pt>
                </c:numCache>
              </c:numRef>
            </c:plus>
            <c:minus>
              <c:numRef>
                <c:f>'Single pass'!$K$234:$K$238</c:f>
                <c:numCache>
                  <c:formatCode>General</c:formatCode>
                  <c:ptCount val="5"/>
                  <c:pt idx="0">
                    <c:v>0.10229054894739693</c:v>
                  </c:pt>
                  <c:pt idx="1">
                    <c:v>0.12443505948225728</c:v>
                  </c:pt>
                  <c:pt idx="2">
                    <c:v>6.330820662412831E-2</c:v>
                  </c:pt>
                  <c:pt idx="3">
                    <c:v>6.8873530619038587E-2</c:v>
                  </c:pt>
                  <c:pt idx="4">
                    <c:v>5.6981436798134916E-2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pass'!$C$237:$G$237</c:f>
              <c:numCache>
                <c:formatCode>General</c:formatCode>
                <c:ptCount val="5"/>
                <c:pt idx="0">
                  <c:v>0.37748384490839265</c:v>
                </c:pt>
                <c:pt idx="1">
                  <c:v>0.63655296946113316</c:v>
                </c:pt>
                <c:pt idx="2">
                  <c:v>3.1340884997330192</c:v>
                </c:pt>
                <c:pt idx="3">
                  <c:v>12.385327358145448</c:v>
                </c:pt>
                <c:pt idx="4">
                  <c:v>16.370542687646353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0-4FD2-B69F-3C3C3D619801}"/>
            </c:ext>
          </c:extLst>
        </c:ser>
        <c:ser>
          <c:idx val="2"/>
          <c:order val="2"/>
          <c:tx>
            <c:v>1 hour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pass'!$L$234:$L$238</c:f>
                <c:numCache>
                  <c:formatCode>General</c:formatCode>
                  <c:ptCount val="5"/>
                  <c:pt idx="0">
                    <c:v>0.50740752818366308</c:v>
                  </c:pt>
                  <c:pt idx="1">
                    <c:v>0.134640474469053</c:v>
                  </c:pt>
                  <c:pt idx="2">
                    <c:v>0.24268709325462937</c:v>
                  </c:pt>
                  <c:pt idx="3">
                    <c:v>0.13104417131116458</c:v>
                  </c:pt>
                  <c:pt idx="4">
                    <c:v>5.270914101299487E-2</c:v>
                  </c:pt>
                </c:numCache>
              </c:numRef>
            </c:plus>
            <c:minus>
              <c:numRef>
                <c:f>'Single pass'!$L$234:$L$238</c:f>
                <c:numCache>
                  <c:formatCode>General</c:formatCode>
                  <c:ptCount val="5"/>
                  <c:pt idx="0">
                    <c:v>0.50740752818366308</c:v>
                  </c:pt>
                  <c:pt idx="1">
                    <c:v>0.134640474469053</c:v>
                  </c:pt>
                  <c:pt idx="2">
                    <c:v>0.24268709325462937</c:v>
                  </c:pt>
                  <c:pt idx="3">
                    <c:v>0.13104417131116458</c:v>
                  </c:pt>
                  <c:pt idx="4">
                    <c:v>5.270914101299487E-2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pass'!$C$238:$G$238</c:f>
              <c:numCache>
                <c:formatCode>General</c:formatCode>
                <c:ptCount val="5"/>
                <c:pt idx="0">
                  <c:v>0.85585253125966743</c:v>
                </c:pt>
                <c:pt idx="1">
                  <c:v>1.2966755556189651</c:v>
                </c:pt>
                <c:pt idx="2">
                  <c:v>6.2692438994515731</c:v>
                </c:pt>
                <c:pt idx="3">
                  <c:v>24.767842781057912</c:v>
                </c:pt>
                <c:pt idx="4">
                  <c:v>32.8472461003064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0-4FD2-B69F-3C3C3D619801}"/>
            </c:ext>
          </c:extLst>
        </c:ser>
        <c:ser>
          <c:idx val="3"/>
          <c:order val="3"/>
          <c:tx>
            <c:v>1.5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pass'!$M$234:$M$238</c:f>
                <c:numCache>
                  <c:formatCode>General</c:formatCode>
                  <c:ptCount val="5"/>
                  <c:pt idx="0">
                    <c:v>0.69587395305812494</c:v>
                  </c:pt>
                  <c:pt idx="1">
                    <c:v>0.1104229174707724</c:v>
                  </c:pt>
                  <c:pt idx="2">
                    <c:v>0.20078161597520452</c:v>
                  </c:pt>
                  <c:pt idx="3">
                    <c:v>0.13808996574934518</c:v>
                  </c:pt>
                  <c:pt idx="4">
                    <c:v>0.10822109305639782</c:v>
                  </c:pt>
                </c:numCache>
              </c:numRef>
            </c:plus>
            <c:minus>
              <c:numRef>
                <c:f>'Single pass'!$M$234:$M$238</c:f>
                <c:numCache>
                  <c:formatCode>General</c:formatCode>
                  <c:ptCount val="5"/>
                  <c:pt idx="0">
                    <c:v>0.69587395305812494</c:v>
                  </c:pt>
                  <c:pt idx="1">
                    <c:v>0.1104229174707724</c:v>
                  </c:pt>
                  <c:pt idx="2">
                    <c:v>0.20078161597520452</c:v>
                  </c:pt>
                  <c:pt idx="3">
                    <c:v>0.13808996574934518</c:v>
                  </c:pt>
                  <c:pt idx="4">
                    <c:v>0.10822109305639782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pass'!$C$239:$G$239</c:f>
              <c:numCache>
                <c:formatCode>General</c:formatCode>
                <c:ptCount val="5"/>
                <c:pt idx="0">
                  <c:v>1.3537397101899504</c:v>
                </c:pt>
                <c:pt idx="1">
                  <c:v>1.9624749877751155</c:v>
                </c:pt>
                <c:pt idx="2">
                  <c:v>9.3986861489578253</c:v>
                </c:pt>
                <c:pt idx="3">
                  <c:v>37.462330207631759</c:v>
                </c:pt>
                <c:pt idx="4">
                  <c:v>49.492600114934405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40-4FD2-B69F-3C3C3D619801}"/>
            </c:ext>
          </c:extLst>
        </c:ser>
        <c:ser>
          <c:idx val="4"/>
          <c:order val="4"/>
          <c:tx>
            <c:v>2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pass'!$N$234:$N$238</c:f>
                <c:numCache>
                  <c:formatCode>General</c:formatCode>
                  <c:ptCount val="5"/>
                  <c:pt idx="0">
                    <c:v>0.86716081500387876</c:v>
                  </c:pt>
                  <c:pt idx="1">
                    <c:v>0.16159025087101703</c:v>
                  </c:pt>
                  <c:pt idx="2">
                    <c:v>0.32726656157181877</c:v>
                  </c:pt>
                  <c:pt idx="3">
                    <c:v>0.10434434431268104</c:v>
                  </c:pt>
                  <c:pt idx="4">
                    <c:v>0.24999787377654309</c:v>
                  </c:pt>
                </c:numCache>
              </c:numRef>
            </c:plus>
            <c:minus>
              <c:numRef>
                <c:f>'Single pass'!$N$234:$N$238</c:f>
                <c:numCache>
                  <c:formatCode>General</c:formatCode>
                  <c:ptCount val="5"/>
                  <c:pt idx="0">
                    <c:v>0.86716081500387876</c:v>
                  </c:pt>
                  <c:pt idx="1">
                    <c:v>0.16159025087101703</c:v>
                  </c:pt>
                  <c:pt idx="2">
                    <c:v>0.32726656157181877</c:v>
                  </c:pt>
                  <c:pt idx="3">
                    <c:v>0.10434434431268104</c:v>
                  </c:pt>
                  <c:pt idx="4">
                    <c:v>0.24999787377654309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pass'!$C$240:$G$240</c:f>
              <c:numCache>
                <c:formatCode>General</c:formatCode>
                <c:ptCount val="5"/>
                <c:pt idx="0">
                  <c:v>1.8576542970305183</c:v>
                </c:pt>
                <c:pt idx="1">
                  <c:v>2.6404666313901033</c:v>
                </c:pt>
                <c:pt idx="2">
                  <c:v>12.632373101644982</c:v>
                </c:pt>
                <c:pt idx="3">
                  <c:v>50.572056010806264</c:v>
                </c:pt>
                <c:pt idx="4">
                  <c:v>66.491982699626931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40-4FD2-B69F-3C3C3D619801}"/>
            </c:ext>
          </c:extLst>
        </c:ser>
        <c:ser>
          <c:idx val="5"/>
          <c:order val="5"/>
          <c:tx>
            <c:v>2.5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pass'!$O$234:$O$238</c:f>
                <c:numCache>
                  <c:formatCode>General</c:formatCode>
                  <c:ptCount val="5"/>
                  <c:pt idx="0">
                    <c:v>0.84509312886777366</c:v>
                  </c:pt>
                  <c:pt idx="1">
                    <c:v>0.25003945827272384</c:v>
                  </c:pt>
                  <c:pt idx="2">
                    <c:v>0.46355486261340978</c:v>
                  </c:pt>
                  <c:pt idx="3">
                    <c:v>0.15699066957324548</c:v>
                  </c:pt>
                  <c:pt idx="4">
                    <c:v>0.31365538383055641</c:v>
                  </c:pt>
                </c:numCache>
              </c:numRef>
            </c:plus>
            <c:minus>
              <c:numRef>
                <c:f>'Single pass'!$O$234:$O$238</c:f>
                <c:numCache>
                  <c:formatCode>General</c:formatCode>
                  <c:ptCount val="5"/>
                  <c:pt idx="0">
                    <c:v>0.84509312886777366</c:v>
                  </c:pt>
                  <c:pt idx="1">
                    <c:v>0.25003945827272384</c:v>
                  </c:pt>
                  <c:pt idx="2">
                    <c:v>0.46355486261340978</c:v>
                  </c:pt>
                  <c:pt idx="3">
                    <c:v>0.15699066957324548</c:v>
                  </c:pt>
                  <c:pt idx="4">
                    <c:v>0.31365538383055641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pass'!$C$241:$G$241</c:f>
              <c:numCache>
                <c:formatCode>General</c:formatCode>
                <c:ptCount val="5"/>
                <c:pt idx="0">
                  <c:v>2.3625134036491953</c:v>
                </c:pt>
                <c:pt idx="1">
                  <c:v>3.3308174475269783</c:v>
                </c:pt>
                <c:pt idx="2">
                  <c:v>15.900009246339962</c:v>
                </c:pt>
                <c:pt idx="3">
                  <c:v>64.59372583652457</c:v>
                </c:pt>
                <c:pt idx="4">
                  <c:v>83.264306765008911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40-4FD2-B69F-3C3C3D619801}"/>
            </c:ext>
          </c:extLst>
        </c:ser>
        <c:ser>
          <c:idx val="6"/>
          <c:order val="6"/>
          <c:tx>
            <c:v>3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pass'!$P$234:$P$238</c:f>
                <c:numCache>
                  <c:formatCode>General</c:formatCode>
                  <c:ptCount val="5"/>
                  <c:pt idx="0">
                    <c:v>0.90504549635267917</c:v>
                  </c:pt>
                  <c:pt idx="1">
                    <c:v>0.59681720753580159</c:v>
                  </c:pt>
                  <c:pt idx="2">
                    <c:v>0.34430443344478745</c:v>
                  </c:pt>
                  <c:pt idx="3">
                    <c:v>0.67373968368408488</c:v>
                  </c:pt>
                  <c:pt idx="4">
                    <c:v>0.32481025339439507</c:v>
                  </c:pt>
                </c:numCache>
              </c:numRef>
            </c:plus>
            <c:minus>
              <c:numRef>
                <c:f>'Single pass'!$P$234:$P$238</c:f>
                <c:numCache>
                  <c:formatCode>General</c:formatCode>
                  <c:ptCount val="5"/>
                  <c:pt idx="0">
                    <c:v>0.90504549635267917</c:v>
                  </c:pt>
                  <c:pt idx="1">
                    <c:v>0.59681720753580159</c:v>
                  </c:pt>
                  <c:pt idx="2">
                    <c:v>0.34430443344478745</c:v>
                  </c:pt>
                  <c:pt idx="3">
                    <c:v>0.67373968368408488</c:v>
                  </c:pt>
                  <c:pt idx="4">
                    <c:v>0.32481025339439507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pass'!$C$242:$G$242</c:f>
              <c:numCache>
                <c:formatCode>General</c:formatCode>
                <c:ptCount val="5"/>
                <c:pt idx="0">
                  <c:v>2.966272314532012</c:v>
                </c:pt>
                <c:pt idx="1">
                  <c:v>4.0613116551736272</c:v>
                </c:pt>
                <c:pt idx="2">
                  <c:v>19.20129660293199</c:v>
                </c:pt>
                <c:pt idx="3">
                  <c:v>80.116851405842709</c:v>
                </c:pt>
                <c:pt idx="4">
                  <c:v>100.3459759336571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40-4FD2-B69F-3C3C3D619801}"/>
            </c:ext>
          </c:extLst>
        </c:ser>
        <c:ser>
          <c:idx val="8"/>
          <c:order val="7"/>
          <c:tx>
            <c:v>4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pass'!$Q$234:$Q$238</c:f>
                <c:numCache>
                  <c:formatCode>General</c:formatCode>
                  <c:ptCount val="5"/>
                  <c:pt idx="0">
                    <c:v>1.547143612669484</c:v>
                  </c:pt>
                  <c:pt idx="1">
                    <c:v>0.84706843545548782</c:v>
                  </c:pt>
                  <c:pt idx="2">
                    <c:v>9.9456703649288714E-2</c:v>
                  </c:pt>
                  <c:pt idx="4">
                    <c:v>0.41991303002631708</c:v>
                  </c:pt>
                </c:numCache>
              </c:numRef>
            </c:plus>
            <c:minus>
              <c:numRef>
                <c:f>'Single pass'!$Q$234:$Q$238</c:f>
                <c:numCache>
                  <c:formatCode>General</c:formatCode>
                  <c:ptCount val="5"/>
                  <c:pt idx="0">
                    <c:v>1.547143612669484</c:v>
                  </c:pt>
                  <c:pt idx="1">
                    <c:v>0.84706843545548782</c:v>
                  </c:pt>
                  <c:pt idx="2">
                    <c:v>9.9456703649288714E-2</c:v>
                  </c:pt>
                  <c:pt idx="4">
                    <c:v>0.41991303002631708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pass'!$C$243:$G$243</c:f>
              <c:numCache>
                <c:formatCode>General</c:formatCode>
                <c:ptCount val="5"/>
                <c:pt idx="0">
                  <c:v>4.1470732070293366</c:v>
                </c:pt>
                <c:pt idx="1">
                  <c:v>5.5352399646024368</c:v>
                </c:pt>
                <c:pt idx="2">
                  <c:v>25.805744259092094</c:v>
                </c:pt>
                <c:pt idx="4">
                  <c:v>137.40135610000377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40-4FD2-B69F-3C3C3D619801}"/>
            </c:ext>
          </c:extLst>
        </c:ser>
        <c:ser>
          <c:idx val="12"/>
          <c:order val="8"/>
          <c:tx>
            <c:v>6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pass'!$R$234:$R$238</c:f>
                <c:numCache>
                  <c:formatCode>General</c:formatCode>
                  <c:ptCount val="5"/>
                  <c:pt idx="0">
                    <c:v>2.0274299353663672</c:v>
                  </c:pt>
                  <c:pt idx="1">
                    <c:v>1.0428948095434289</c:v>
                  </c:pt>
                  <c:pt idx="2">
                    <c:v>0.76994198830648031</c:v>
                  </c:pt>
                  <c:pt idx="4">
                    <c:v>0.79450611341133892</c:v>
                  </c:pt>
                </c:numCache>
              </c:numRef>
            </c:plus>
            <c:minus>
              <c:numRef>
                <c:f>'Single pass'!$R$234:$R$238</c:f>
                <c:numCache>
                  <c:formatCode>General</c:formatCode>
                  <c:ptCount val="5"/>
                  <c:pt idx="0">
                    <c:v>2.0274299353663672</c:v>
                  </c:pt>
                  <c:pt idx="1">
                    <c:v>1.0428948095434289</c:v>
                  </c:pt>
                  <c:pt idx="2">
                    <c:v>0.76994198830648031</c:v>
                  </c:pt>
                  <c:pt idx="4">
                    <c:v>0.79450611341133892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pass'!$C$244:$G$244</c:f>
              <c:numCache>
                <c:formatCode>General</c:formatCode>
                <c:ptCount val="5"/>
                <c:pt idx="0">
                  <c:v>6.9489441581842346</c:v>
                </c:pt>
                <c:pt idx="1">
                  <c:v>8.5422311844071395</c:v>
                </c:pt>
                <c:pt idx="2">
                  <c:v>39.656028697666045</c:v>
                </c:pt>
                <c:pt idx="4">
                  <c:v>211.82875189819393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40-4FD2-B69F-3C3C3D619801}"/>
            </c:ext>
          </c:extLst>
        </c:ser>
        <c:ser>
          <c:idx val="16"/>
          <c:order val="9"/>
          <c:tx>
            <c:v>8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pass'!$S$234:$S$238</c:f>
                <c:numCache>
                  <c:formatCode>General</c:formatCode>
                  <c:ptCount val="5"/>
                  <c:pt idx="0">
                    <c:v>2.5327211979437996</c:v>
                  </c:pt>
                  <c:pt idx="1">
                    <c:v>0.96251556342555078</c:v>
                  </c:pt>
                  <c:pt idx="2">
                    <c:v>0.95141682699828944</c:v>
                  </c:pt>
                  <c:pt idx="4">
                    <c:v>1.5199756024353965</c:v>
                  </c:pt>
                </c:numCache>
              </c:numRef>
            </c:plus>
            <c:minus>
              <c:numRef>
                <c:f>'Single pass'!$S$234:$S$238</c:f>
                <c:numCache>
                  <c:formatCode>General</c:formatCode>
                  <c:ptCount val="5"/>
                  <c:pt idx="0">
                    <c:v>2.5327211979437996</c:v>
                  </c:pt>
                  <c:pt idx="1">
                    <c:v>0.96251556342555078</c:v>
                  </c:pt>
                  <c:pt idx="2">
                    <c:v>0.95141682699828944</c:v>
                  </c:pt>
                  <c:pt idx="4">
                    <c:v>1.5199756024353965</c:v>
                  </c:pt>
                </c:numCache>
              </c:numRef>
            </c:minus>
          </c:errBars>
          <c:cat>
            <c:strRef>
              <c:f>'Single pass'!$C$157:$G$157</c:f>
              <c:strCache>
                <c:ptCount val="5"/>
                <c:pt idx="0">
                  <c:v>0.006M</c:v>
                </c:pt>
                <c:pt idx="1">
                  <c:v>0.06M</c:v>
                </c:pt>
                <c:pt idx="2">
                  <c:v>0.6M</c:v>
                </c:pt>
                <c:pt idx="3">
                  <c:v>2.3M</c:v>
                </c:pt>
                <c:pt idx="4">
                  <c:v>3M</c:v>
                </c:pt>
              </c:strCache>
            </c:strRef>
          </c:cat>
          <c:val>
            <c:numRef>
              <c:f>'Single pass'!$C$245:$G$245</c:f>
              <c:numCache>
                <c:formatCode>General</c:formatCode>
                <c:ptCount val="5"/>
                <c:pt idx="0">
                  <c:v>9.7678140073213413</c:v>
                </c:pt>
                <c:pt idx="1">
                  <c:v>11.561492137488463</c:v>
                </c:pt>
                <c:pt idx="2">
                  <c:v>53.748619681129988</c:v>
                </c:pt>
                <c:pt idx="4">
                  <c:v>300.31465348026916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40-4FD2-B69F-3C3C3D619801}"/>
            </c:ext>
          </c:extLst>
        </c:ser>
        <c:ser>
          <c:idx val="7"/>
          <c:order val="10"/>
          <c:tx>
            <c:v>10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pass'!$T$234:$T$238</c:f>
                <c:numCache>
                  <c:formatCode>General</c:formatCode>
                  <c:ptCount val="5"/>
                  <c:pt idx="0">
                    <c:v>2.5690270320114812</c:v>
                  </c:pt>
                  <c:pt idx="1">
                    <c:v>1.8278508455425357</c:v>
                  </c:pt>
                  <c:pt idx="2">
                    <c:v>1.2227953860093508</c:v>
                  </c:pt>
                </c:numCache>
              </c:numRef>
            </c:plus>
            <c:minus>
              <c:numRef>
                <c:f>'Single pass'!$T$234:$T$238</c:f>
                <c:numCache>
                  <c:formatCode>General</c:formatCode>
                  <c:ptCount val="5"/>
                  <c:pt idx="0">
                    <c:v>2.5690270320114812</c:v>
                  </c:pt>
                  <c:pt idx="1">
                    <c:v>1.8278508455425357</c:v>
                  </c:pt>
                  <c:pt idx="2">
                    <c:v>1.2227953860093508</c:v>
                  </c:pt>
                </c:numCache>
              </c:numRef>
            </c:minus>
          </c:errBars>
          <c:val>
            <c:numRef>
              <c:f>'Single pass'!$C$246:$G$246</c:f>
              <c:numCache>
                <c:formatCode>General</c:formatCode>
                <c:ptCount val="5"/>
                <c:pt idx="0">
                  <c:v>12.574794182176337</c:v>
                </c:pt>
                <c:pt idx="1">
                  <c:v>14.809217441677172</c:v>
                </c:pt>
                <c:pt idx="2">
                  <c:v>67.916408748881196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40-4FD2-B69F-3C3C3D619801}"/>
            </c:ext>
          </c:extLst>
        </c:ser>
        <c:ser>
          <c:idx val="9"/>
          <c:order val="11"/>
          <c:tx>
            <c:v>12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pass'!$U$234:$U$238</c:f>
                <c:numCache>
                  <c:formatCode>General</c:formatCode>
                  <c:ptCount val="5"/>
                  <c:pt idx="0">
                    <c:v>2.3837875164277831</c:v>
                  </c:pt>
                  <c:pt idx="1">
                    <c:v>1.7353740266950224</c:v>
                  </c:pt>
                  <c:pt idx="2">
                    <c:v>1.2470119980961247</c:v>
                  </c:pt>
                </c:numCache>
              </c:numRef>
            </c:plus>
            <c:minus>
              <c:numRef>
                <c:f>'Single pass'!$U$234:$U$238</c:f>
                <c:numCache>
                  <c:formatCode>General</c:formatCode>
                  <c:ptCount val="5"/>
                  <c:pt idx="0">
                    <c:v>2.3837875164277831</c:v>
                  </c:pt>
                  <c:pt idx="1">
                    <c:v>1.7353740266950224</c:v>
                  </c:pt>
                  <c:pt idx="2">
                    <c:v>1.2470119980961247</c:v>
                  </c:pt>
                </c:numCache>
              </c:numRef>
            </c:minus>
          </c:errBars>
          <c:val>
            <c:numRef>
              <c:f>'Single pass'!$C$247:$G$247</c:f>
              <c:numCache>
                <c:formatCode>General</c:formatCode>
                <c:ptCount val="5"/>
                <c:pt idx="0">
                  <c:v>16.378037001333457</c:v>
                </c:pt>
                <c:pt idx="1">
                  <c:v>18.307476438150633</c:v>
                </c:pt>
                <c:pt idx="2">
                  <c:v>82.227379110899761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40-4FD2-B69F-3C3C3D619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60032"/>
        <c:axId val="127661952"/>
      </c:barChart>
      <c:catAx>
        <c:axId val="12766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1">
                    <a:effectLst/>
                  </a:rPr>
                  <a:t>[NH</a:t>
                </a:r>
                <a:r>
                  <a:rPr lang="en-GB" sz="1000" b="1" baseline="-25000">
                    <a:effectLst/>
                  </a:rPr>
                  <a:t>3</a:t>
                </a:r>
                <a:r>
                  <a:rPr lang="en-GB" sz="1000" b="1">
                    <a:effectLst/>
                  </a:rPr>
                  <a:t>] (mol/l)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661952"/>
        <c:crosses val="autoZero"/>
        <c:auto val="1"/>
        <c:lblAlgn val="ctr"/>
        <c:lblOffset val="100"/>
        <c:noMultiLvlLbl val="0"/>
      </c:catAx>
      <c:valAx>
        <c:axId val="127661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Ssol/S* (*10</a:t>
                </a:r>
                <a:r>
                  <a:rPr lang="en-US" sz="1000" b="1" i="0" baseline="30000">
                    <a:effectLst/>
                  </a:rPr>
                  <a:t>-5</a:t>
                </a:r>
                <a:r>
                  <a:rPr lang="en-US" sz="1000" b="1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660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909771018026244"/>
          <c:y val="9.4145454527149716E-2"/>
          <c:w val="6.500258425685404E-2"/>
          <c:h val="0.6936204764117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Single Pass/Recirculation; Ql=4.55ml/min; Qg=50ml/min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1min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pass'!$C$312:$F$312</c:f>
              <c:numCache>
                <c:formatCode>General</c:formatCode>
                <c:ptCount val="4"/>
                <c:pt idx="0">
                  <c:v>4.637527449518597E-2</c:v>
                </c:pt>
                <c:pt idx="1">
                  <c:v>6.9279359161352819E-2</c:v>
                </c:pt>
                <c:pt idx="2">
                  <c:v>4.2611083001830322E-2</c:v>
                </c:pt>
                <c:pt idx="3">
                  <c:v>5.5544470842055327E-2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8-403A-B582-68D72C2C28D7}"/>
            </c:ext>
          </c:extLst>
        </c:ser>
        <c:ser>
          <c:idx val="1"/>
          <c:order val="1"/>
          <c:tx>
            <c:v>30 min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pass'!$C$313:$F$313</c:f>
              <c:numCache>
                <c:formatCode>General</c:formatCode>
                <c:ptCount val="4"/>
                <c:pt idx="0">
                  <c:v>1.1694003889342961</c:v>
                </c:pt>
                <c:pt idx="1">
                  <c:v>1.5367039913909548</c:v>
                </c:pt>
                <c:pt idx="2">
                  <c:v>1.3142049288820399</c:v>
                </c:pt>
                <c:pt idx="3">
                  <c:v>1.7370754334102776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03A-B582-68D72C2C28D7}"/>
            </c:ext>
          </c:extLst>
        </c:ser>
        <c:ser>
          <c:idx val="2"/>
          <c:order val="2"/>
          <c:tx>
            <c:v>1 hour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pass'!$C$314:$F$314</c:f>
              <c:numCache>
                <c:formatCode>General</c:formatCode>
                <c:ptCount val="4"/>
                <c:pt idx="0">
                  <c:v>1.925435850490447</c:v>
                </c:pt>
                <c:pt idx="1">
                  <c:v>2.5395471990628757</c:v>
                </c:pt>
                <c:pt idx="2">
                  <c:v>2.6281114838062485</c:v>
                </c:pt>
                <c:pt idx="3">
                  <c:v>3.4854155628622738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8-403A-B582-68D72C2C28D7}"/>
            </c:ext>
          </c:extLst>
        </c:ser>
        <c:ser>
          <c:idx val="3"/>
          <c:order val="3"/>
          <c:tx>
            <c:v>1.5 hours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pass'!$C$315:$F$315</c:f>
              <c:numCache>
                <c:formatCode>General</c:formatCode>
                <c:ptCount val="4"/>
                <c:pt idx="0">
                  <c:v>2.5061168782292071</c:v>
                </c:pt>
                <c:pt idx="1">
                  <c:v>3.2979534744469068</c:v>
                </c:pt>
                <c:pt idx="2">
                  <c:v>3.9751213337043558</c:v>
                </c:pt>
                <c:pt idx="3">
                  <c:v>5.2516511783160542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8-403A-B582-68D72C2C28D7}"/>
            </c:ext>
          </c:extLst>
        </c:ser>
        <c:ser>
          <c:idx val="4"/>
          <c:order val="4"/>
          <c:tx>
            <c:v>2 hours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pass'!$C$316:$F$316</c:f>
              <c:numCache>
                <c:formatCode>General</c:formatCode>
                <c:ptCount val="4"/>
                <c:pt idx="0">
                  <c:v>2.9791729416768145</c:v>
                </c:pt>
                <c:pt idx="1">
                  <c:v>3.8707165168497548</c:v>
                </c:pt>
                <c:pt idx="2">
                  <c:v>5.3661920554235598</c:v>
                </c:pt>
                <c:pt idx="3">
                  <c:v>7.0554527036799888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B8-403A-B582-68D72C2C28D7}"/>
            </c:ext>
          </c:extLst>
        </c:ser>
        <c:ser>
          <c:idx val="5"/>
          <c:order val="5"/>
          <c:tx>
            <c:v>2.5 hours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pass'!$C$317:$F$317</c:f>
              <c:numCache>
                <c:formatCode>General</c:formatCode>
                <c:ptCount val="4"/>
                <c:pt idx="0">
                  <c:v>3.1</c:v>
                </c:pt>
                <c:pt idx="1">
                  <c:v>4.2</c:v>
                </c:pt>
                <c:pt idx="2">
                  <c:v>6.8540289985461396</c:v>
                </c:pt>
                <c:pt idx="3">
                  <c:v>8.8351610891055312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B8-403A-B582-68D72C2C28D7}"/>
            </c:ext>
          </c:extLst>
        </c:ser>
        <c:ser>
          <c:idx val="6"/>
          <c:order val="6"/>
          <c:tx>
            <c:v>3 hours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pass'!$C$318:$F$318</c:f>
              <c:numCache>
                <c:formatCode>General</c:formatCode>
                <c:ptCount val="4"/>
                <c:pt idx="0">
                  <c:v>3.4</c:v>
                </c:pt>
                <c:pt idx="1">
                  <c:v>4.8</c:v>
                </c:pt>
                <c:pt idx="2">
                  <c:v>8.501185149121028</c:v>
                </c:pt>
                <c:pt idx="3">
                  <c:v>10.647694029561556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B8-403A-B582-68D72C2C28D7}"/>
            </c:ext>
          </c:extLst>
        </c:ser>
        <c:ser>
          <c:idx val="7"/>
          <c:order val="7"/>
          <c:tx>
            <c:v>3.5 hours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pass'!$C$319:$F$319</c:f>
              <c:numCache>
                <c:formatCode>General</c:formatCode>
                <c:ptCount val="4"/>
                <c:pt idx="1">
                  <c:v>5.3</c:v>
                </c:pt>
                <c:pt idx="3">
                  <c:v>12.61168990200464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B8-403A-B582-68D72C2C28D7}"/>
            </c:ext>
          </c:extLst>
        </c:ser>
        <c:ser>
          <c:idx val="8"/>
          <c:order val="8"/>
          <c:tx>
            <c:v>4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pass'!$I$202:$I$206</c:f>
                <c:numCache>
                  <c:formatCode>General</c:formatCode>
                  <c:ptCount val="5"/>
                  <c:pt idx="0">
                    <c:v>0.16416713928206211</c:v>
                  </c:pt>
                  <c:pt idx="1">
                    <c:v>8.9882284156491951E-2</c:v>
                  </c:pt>
                  <c:pt idx="2">
                    <c:v>1.0553333502347446E-2</c:v>
                  </c:pt>
                  <c:pt idx="4">
                    <c:v>4.455689848193161E-2</c:v>
                  </c:pt>
                </c:numCache>
              </c:numRef>
            </c:plus>
            <c:minus>
              <c:numRef>
                <c:f>'Single pass'!$I$202:$I$206</c:f>
                <c:numCache>
                  <c:formatCode>General</c:formatCode>
                  <c:ptCount val="5"/>
                  <c:pt idx="0">
                    <c:v>0.16416713928206211</c:v>
                  </c:pt>
                  <c:pt idx="1">
                    <c:v>8.9882284156491951E-2</c:v>
                  </c:pt>
                  <c:pt idx="2">
                    <c:v>1.0553333502347446E-2</c:v>
                  </c:pt>
                  <c:pt idx="4">
                    <c:v>4.455689848193161E-2</c:v>
                  </c:pt>
                </c:numCache>
              </c:numRef>
            </c:minus>
          </c:errBars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pass'!$C$320:$F$320</c:f>
              <c:numCache>
                <c:formatCode>General</c:formatCode>
                <c:ptCount val="4"/>
                <c:pt idx="1">
                  <c:v>5.6106486113910146</c:v>
                </c:pt>
                <c:pt idx="3">
                  <c:v>14.579633965261616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B8-403A-B582-68D72C2C28D7}"/>
            </c:ext>
          </c:extLst>
        </c:ser>
        <c:ser>
          <c:idx val="9"/>
          <c:order val="9"/>
          <c:tx>
            <c:v>4.5 hours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pass'!$C$321:$F$321</c:f>
              <c:numCache>
                <c:formatCode>General</c:formatCode>
                <c:ptCount val="4"/>
                <c:pt idx="3">
                  <c:v>16.550814902128884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B8-403A-B582-68D72C2C28D7}"/>
            </c:ext>
          </c:extLst>
        </c:ser>
        <c:ser>
          <c:idx val="10"/>
          <c:order val="10"/>
          <c:tx>
            <c:v>5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pass'!$L$202:$L$206</c:f>
                <c:numCache>
                  <c:formatCode>General</c:formatCode>
                  <c:ptCount val="5"/>
                  <c:pt idx="0">
                    <c:v>0.27259901093209721</c:v>
                  </c:pt>
                  <c:pt idx="1">
                    <c:v>0.19395293487284293</c:v>
                  </c:pt>
                  <c:pt idx="2">
                    <c:v>0.1297506054412709</c:v>
                  </c:pt>
                </c:numCache>
              </c:numRef>
            </c:plus>
            <c:minus>
              <c:numRef>
                <c:f>'Single pass'!$L$202:$L$206</c:f>
                <c:numCache>
                  <c:formatCode>General</c:formatCode>
                  <c:ptCount val="5"/>
                  <c:pt idx="0">
                    <c:v>0.27259901093209721</c:v>
                  </c:pt>
                  <c:pt idx="1">
                    <c:v>0.19395293487284293</c:v>
                  </c:pt>
                  <c:pt idx="2">
                    <c:v>0.1297506054412709</c:v>
                  </c:pt>
                </c:numCache>
              </c:numRef>
            </c:minus>
          </c:errBars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pass'!$C$322:$F$322</c:f>
              <c:numCache>
                <c:formatCode>General</c:formatCode>
                <c:ptCount val="4"/>
                <c:pt idx="3">
                  <c:v>18.526809818364153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B8-403A-B582-68D72C2C28D7}"/>
            </c:ext>
          </c:extLst>
        </c:ser>
        <c:ser>
          <c:idx val="11"/>
          <c:order val="11"/>
          <c:tx>
            <c:v>5.5 hours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pass'!$M$202:$M$206</c:f>
                <c:numCache>
                  <c:formatCode>General</c:formatCode>
                  <c:ptCount val="5"/>
                  <c:pt idx="0">
                    <c:v>0.25294327819575624</c:v>
                  </c:pt>
                  <c:pt idx="1">
                    <c:v>0.18414023573115854</c:v>
                  </c:pt>
                  <c:pt idx="2">
                    <c:v>0.13232022593211143</c:v>
                  </c:pt>
                </c:numCache>
              </c:numRef>
            </c:plus>
            <c:minus>
              <c:numRef>
                <c:f>'Single pass'!$M$202:$M$206</c:f>
                <c:numCache>
                  <c:formatCode>General</c:formatCode>
                  <c:ptCount val="5"/>
                  <c:pt idx="0">
                    <c:v>0.25294327819575624</c:v>
                  </c:pt>
                  <c:pt idx="1">
                    <c:v>0.18414023573115854</c:v>
                  </c:pt>
                  <c:pt idx="2">
                    <c:v>0.13232022593211143</c:v>
                  </c:pt>
                </c:numCache>
              </c:numRef>
            </c:minus>
          </c:errBars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pass'!$C$323:$F$323</c:f>
              <c:numCache>
                <c:formatCode>General</c:formatCode>
                <c:ptCount val="4"/>
                <c:pt idx="3">
                  <c:v>20.506695657866722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B8-403A-B582-68D72C2C28D7}"/>
            </c:ext>
          </c:extLst>
        </c:ser>
        <c:ser>
          <c:idx val="12"/>
          <c:order val="12"/>
          <c:tx>
            <c:v>6 hours</c:v>
          </c:tx>
          <c:invertIfNegative val="0"/>
          <c:cat>
            <c:strRef>
              <c:f>'Single pass'!$C$310:$F$310</c:f>
              <c:strCache>
                <c:ptCount val="4"/>
                <c:pt idx="0">
                  <c:v>2.3M Rec.</c:v>
                </c:pt>
                <c:pt idx="1">
                  <c:v>3M Rec.</c:v>
                </c:pt>
                <c:pt idx="2">
                  <c:v>2.3M S.P.</c:v>
                </c:pt>
                <c:pt idx="3">
                  <c:v>3M S.P.</c:v>
                </c:pt>
              </c:strCache>
            </c:strRef>
          </c:cat>
          <c:val>
            <c:numRef>
              <c:f>'Single pass'!$C$324:$F$324</c:f>
              <c:numCache>
                <c:formatCode>General</c:formatCode>
                <c:ptCount val="4"/>
                <c:pt idx="3">
                  <c:v>22.477111970758774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B8-403A-B582-68D72C2C28D7}"/>
            </c:ext>
          </c:extLst>
        </c:ser>
        <c:ser>
          <c:idx val="13"/>
          <c:order val="13"/>
          <c:tx>
            <c:v>6.5 hours</c:v>
          </c:tx>
          <c:invertIfNegative val="0"/>
          <c:val>
            <c:numRef>
              <c:f>'Single pass'!$C$325:$F$325</c:f>
              <c:numCache>
                <c:formatCode>General</c:formatCode>
                <c:ptCount val="4"/>
                <c:pt idx="3">
                  <c:v>24.626220670625738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B8-403A-B582-68D72C2C28D7}"/>
            </c:ext>
          </c:extLst>
        </c:ser>
        <c:ser>
          <c:idx val="14"/>
          <c:order val="14"/>
          <c:tx>
            <c:v>7 hours</c:v>
          </c:tx>
          <c:invertIfNegative val="0"/>
          <c:val>
            <c:numRef>
              <c:f>'Single pass'!$C$326:$F$326</c:f>
              <c:numCache>
                <c:formatCode>General</c:formatCode>
                <c:ptCount val="4"/>
                <c:pt idx="3">
                  <c:v>26.728933493268993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5B8-403A-B582-68D72C2C28D7}"/>
            </c:ext>
          </c:extLst>
        </c:ser>
        <c:ser>
          <c:idx val="15"/>
          <c:order val="15"/>
          <c:tx>
            <c:v>7.5 hours</c:v>
          </c:tx>
          <c:invertIfNegative val="0"/>
          <c:val>
            <c:numRef>
              <c:f>'Single pass'!$C$327:$F$327</c:f>
              <c:numCache>
                <c:formatCode>General</c:formatCode>
                <c:ptCount val="4"/>
                <c:pt idx="3">
                  <c:v>28.952628152829703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5B8-403A-B582-68D72C2C28D7}"/>
            </c:ext>
          </c:extLst>
        </c:ser>
        <c:ser>
          <c:idx val="16"/>
          <c:order val="16"/>
          <c:tx>
            <c:v>8 hours</c:v>
          </c:tx>
          <c:invertIfNegative val="0"/>
          <c:val>
            <c:numRef>
              <c:f>'Single pass'!$C$328:$F$328</c:f>
              <c:numCache>
                <c:formatCode>General</c:formatCode>
                <c:ptCount val="4"/>
                <c:pt idx="3">
                  <c:v>31.866335576484058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5B8-403A-B582-68D72C2C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070208"/>
        <c:axId val="129072128"/>
      </c:barChart>
      <c:catAx>
        <c:axId val="12907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1">
                    <a:effectLst/>
                  </a:rPr>
                  <a:t>[NH</a:t>
                </a:r>
                <a:r>
                  <a:rPr lang="en-GB" sz="1000" b="1" baseline="-25000">
                    <a:effectLst/>
                  </a:rPr>
                  <a:t>3</a:t>
                </a:r>
                <a:r>
                  <a:rPr lang="en-GB" sz="1000" b="1">
                    <a:effectLst/>
                  </a:rPr>
                  <a:t>] (mol/l)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072128"/>
        <c:crosses val="autoZero"/>
        <c:auto val="1"/>
        <c:lblAlgn val="ctr"/>
        <c:lblOffset val="100"/>
        <c:noMultiLvlLbl val="0"/>
      </c:catAx>
      <c:valAx>
        <c:axId val="1290721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Mass CO</a:t>
                </a:r>
                <a:r>
                  <a:rPr lang="en-US" sz="1000" b="1" i="0" baseline="-25000">
                    <a:effectLst/>
                  </a:rPr>
                  <a:t>2</a:t>
                </a:r>
                <a:r>
                  <a:rPr lang="en-US" sz="1000" b="1" i="0" baseline="0">
                    <a:effectLst/>
                  </a:rPr>
                  <a:t> absorbed (g)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070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1776906768575"/>
          <c:y val="1.7429994003325344E-2"/>
          <c:w val="6.5042552805779877E-2"/>
          <c:h val="0.9338866854696991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Single Pass; Ql=4.55ml/min; Qg=50ml/min; normalized with priming volume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pass'!$F$381:$G$381</c:f>
              <c:numCache>
                <c:formatCode>General</c:formatCode>
                <c:ptCount val="2"/>
                <c:pt idx="0">
                  <c:v>0.4015752798246775</c:v>
                </c:pt>
                <c:pt idx="1">
                  <c:v>0.52346208661614868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B-4388-8171-3F718AE405D1}"/>
            </c:ext>
          </c:extLst>
        </c:ser>
        <c:ser>
          <c:idx val="1"/>
          <c:order val="1"/>
          <c:tx>
            <c:v>30 min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pass'!$F$382:$G$382</c:f>
              <c:numCache>
                <c:formatCode>General</c:formatCode>
                <c:ptCount val="2"/>
                <c:pt idx="0">
                  <c:v>11.983752078320771</c:v>
                </c:pt>
                <c:pt idx="1">
                  <c:v>15.847080601030203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B-4388-8171-3F718AE405D1}"/>
            </c:ext>
          </c:extLst>
        </c:ser>
        <c:ser>
          <c:idx val="2"/>
          <c:order val="2"/>
          <c:tx>
            <c:v>1 hour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pass'!$F$383:$G$383</c:f>
              <c:numCache>
                <c:formatCode>General</c:formatCode>
                <c:ptCount val="2"/>
                <c:pt idx="0">
                  <c:v>12.382515422912466</c:v>
                </c:pt>
                <c:pt idx="1">
                  <c:v>16.476703412660047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B-4388-8171-3F718AE405D1}"/>
            </c:ext>
          </c:extLst>
        </c:ser>
        <c:ser>
          <c:idx val="3"/>
          <c:order val="3"/>
          <c:tx>
            <c:v>1.5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pass'!$F$384:$G$384</c:f>
              <c:numCache>
                <c:formatCode>General</c:formatCode>
                <c:ptCount val="2"/>
                <c:pt idx="0">
                  <c:v>12.694487426573845</c:v>
                </c:pt>
                <c:pt idx="1">
                  <c:v>16.645354014628012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8B-4388-8171-3F718AE405D1}"/>
            </c:ext>
          </c:extLst>
        </c:ser>
        <c:ser>
          <c:idx val="4"/>
          <c:order val="4"/>
          <c:tx>
            <c:v>2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pass'!$F$385:$G$385</c:f>
              <c:numCache>
                <c:formatCode>General</c:formatCode>
                <c:ptCount val="2"/>
                <c:pt idx="0">
                  <c:v>13.1097258031745</c:v>
                </c:pt>
                <c:pt idx="1">
                  <c:v>16.999382584692526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8B-4388-8171-3F718AE405D1}"/>
            </c:ext>
          </c:extLst>
        </c:ser>
        <c:ser>
          <c:idx val="5"/>
          <c:order val="5"/>
          <c:tx>
            <c:v>2.5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pass'!$F$386:$G$386</c:f>
              <c:numCache>
                <c:formatCode>General</c:formatCode>
                <c:ptCount val="2"/>
                <c:pt idx="0">
                  <c:v>14.021669825718313</c:v>
                </c:pt>
                <c:pt idx="1">
                  <c:v>16.772324065381962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8B-4388-8171-3F718AE405D1}"/>
            </c:ext>
          </c:extLst>
        </c:ser>
        <c:ser>
          <c:idx val="6"/>
          <c:order val="6"/>
          <c:tx>
            <c:v>3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pass'!$F$387:$G$387</c:f>
              <c:numCache>
                <c:formatCode>General</c:formatCode>
                <c:ptCount val="2"/>
                <c:pt idx="0">
                  <c:v>15.523125569318118</c:v>
                </c:pt>
                <c:pt idx="1">
                  <c:v>17.081669168648194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8B-4388-8171-3F718AE405D1}"/>
            </c:ext>
          </c:extLst>
        </c:ser>
        <c:ser>
          <c:idx val="8"/>
          <c:order val="7"/>
          <c:tx>
            <c:v>3,5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pass'!$F$388:$G$388</c:f>
              <c:numCache>
                <c:formatCode>General</c:formatCode>
                <c:ptCount val="2"/>
                <c:pt idx="1">
                  <c:v>18.50908581734393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8B-4388-8171-3F718AE405D1}"/>
            </c:ext>
          </c:extLst>
        </c:ser>
        <c:ser>
          <c:idx val="12"/>
          <c:order val="8"/>
          <c:tx>
            <c:v>4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pass'!$F$389:$G$389</c:f>
              <c:numCache>
                <c:formatCode>General</c:formatCode>
                <c:ptCount val="2"/>
                <c:pt idx="1">
                  <c:v>18.54629434900275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8B-4388-8171-3F718AE405D1}"/>
            </c:ext>
          </c:extLst>
        </c:ser>
        <c:ser>
          <c:idx val="16"/>
          <c:order val="9"/>
          <c:tx>
            <c:v>4.5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pass'!$F$390:$G$390</c:f>
              <c:numCache>
                <c:formatCode>General</c:formatCode>
                <c:ptCount val="2"/>
                <c:pt idx="1">
                  <c:v>18.576799286550457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8B-4388-8171-3F718AE405D1}"/>
            </c:ext>
          </c:extLst>
        </c:ser>
        <c:ser>
          <c:idx val="7"/>
          <c:order val="10"/>
          <c:tx>
            <c:v>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pass'!$F$391:$G$391</c:f>
              <c:numCache>
                <c:formatCode>General</c:formatCode>
                <c:ptCount val="2"/>
                <c:pt idx="1">
                  <c:v>18.622167180900647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8B-4388-8171-3F718AE405D1}"/>
            </c:ext>
          </c:extLst>
        </c:ser>
        <c:ser>
          <c:idx val="9"/>
          <c:order val="11"/>
          <c:tx>
            <c:v>5.5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pass'!$F$392:$G$392</c:f>
              <c:numCache>
                <c:formatCode>General</c:formatCode>
                <c:ptCount val="2"/>
                <c:pt idx="1">
                  <c:v>18.65883601186594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8B-4388-8171-3F718AE405D1}"/>
            </c:ext>
          </c:extLst>
        </c:ser>
        <c:ser>
          <c:idx val="10"/>
          <c:order val="12"/>
          <c:tx>
            <c:v>6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pass'!$F$393:$G$393</c:f>
              <c:numCache>
                <c:formatCode>General</c:formatCode>
                <c:ptCount val="2"/>
                <c:pt idx="1">
                  <c:v>18.569593318873078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8B-4388-8171-3F718AE405D1}"/>
            </c:ext>
          </c:extLst>
        </c:ser>
        <c:ser>
          <c:idx val="11"/>
          <c:order val="13"/>
          <c:tx>
            <c:v>6.5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pass'!$F$394:$G$394</c:f>
              <c:numCache>
                <c:formatCode>General</c:formatCode>
                <c:ptCount val="2"/>
                <c:pt idx="1">
                  <c:v>20.253625740647241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8B-4388-8171-3F718AE405D1}"/>
            </c:ext>
          </c:extLst>
        </c:ser>
        <c:ser>
          <c:idx val="13"/>
          <c:order val="14"/>
          <c:tx>
            <c:v>7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pass'!$F$395:$G$395</c:f>
              <c:numCache>
                <c:formatCode>General</c:formatCode>
                <c:ptCount val="2"/>
                <c:pt idx="1">
                  <c:v>19.816381810986389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8B-4388-8171-3F718AE405D1}"/>
            </c:ext>
          </c:extLst>
        </c:ser>
        <c:ser>
          <c:idx val="14"/>
          <c:order val="15"/>
          <c:tx>
            <c:v>7.5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pass'!$F$396:$G$396</c:f>
              <c:numCache>
                <c:formatCode>General</c:formatCode>
                <c:ptCount val="2"/>
                <c:pt idx="1">
                  <c:v>20.956538586906522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88B-4388-8171-3F718AE405D1}"/>
            </c:ext>
          </c:extLst>
        </c:ser>
        <c:ser>
          <c:idx val="15"/>
          <c:order val="16"/>
          <c:tx>
            <c:v>8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pass'!$F$397:$G$397</c:f>
              <c:numCache>
                <c:formatCode>General</c:formatCode>
                <c:ptCount val="2"/>
                <c:pt idx="1">
                  <c:v>27.45935544353512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88B-4388-8171-3F718AE40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164800"/>
        <c:axId val="129166720"/>
      </c:barChart>
      <c:catAx>
        <c:axId val="1291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1">
                    <a:effectLst/>
                  </a:rPr>
                  <a:t>[NH</a:t>
                </a:r>
                <a:r>
                  <a:rPr lang="en-GB" sz="1000" b="1" baseline="-25000">
                    <a:effectLst/>
                  </a:rPr>
                  <a:t>3</a:t>
                </a:r>
                <a:r>
                  <a:rPr lang="en-GB" sz="1000" b="1">
                    <a:effectLst/>
                  </a:rPr>
                  <a:t>] (mol/l)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166720"/>
        <c:crosses val="autoZero"/>
        <c:auto val="1"/>
        <c:lblAlgn val="ctr"/>
        <c:lblOffset val="100"/>
        <c:noMultiLvlLbl val="0"/>
      </c:catAx>
      <c:valAx>
        <c:axId val="12916672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Ssol/S* (*10</a:t>
                </a:r>
                <a:r>
                  <a:rPr lang="en-US" sz="1000" b="1" i="0" baseline="30000">
                    <a:effectLst/>
                  </a:rPr>
                  <a:t>-5</a:t>
                </a:r>
                <a:r>
                  <a:rPr lang="en-US" sz="1000" b="1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16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673782795510906"/>
          <c:y val="5.8984153000238099E-2"/>
          <c:w val="6.500258425685404E-2"/>
          <c:h val="0.892332420028803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Recirculation; Ql=4.55ml/min; Qg=50ml/min; normalized with priming volume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 min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pass'!$F$404:$G$404</c:f>
              <c:numCache>
                <c:formatCode>General</c:formatCode>
                <c:ptCount val="2"/>
                <c:pt idx="0">
                  <c:v>0.43673077916779263</c:v>
                </c:pt>
                <c:pt idx="1">
                  <c:v>0.65242586348300269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D-4315-94EA-1EB57C2B80FB}"/>
            </c:ext>
          </c:extLst>
        </c:ser>
        <c:ser>
          <c:idx val="1"/>
          <c:order val="1"/>
          <c:tx>
            <c:v>10 min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pass'!$F$405:$G$405</c:f>
              <c:numCache>
                <c:formatCode>General</c:formatCode>
                <c:ptCount val="2"/>
                <c:pt idx="0">
                  <c:v>4.2630904473101001</c:v>
                </c:pt>
                <c:pt idx="1">
                  <c:v>5.3553496140176993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D-4315-94EA-1EB57C2B80FB}"/>
            </c:ext>
          </c:extLst>
        </c:ser>
        <c:ser>
          <c:idx val="2"/>
          <c:order val="2"/>
          <c:tx>
            <c:v>30 min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pass'!$F$406:$G$406</c:f>
              <c:numCache>
                <c:formatCode>General</c:formatCode>
                <c:ptCount val="2"/>
                <c:pt idx="0">
                  <c:v>11.012617145186065</c:v>
                </c:pt>
                <c:pt idx="1">
                  <c:v>14.47163254160567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D-4315-94EA-1EB57C2B80FB}"/>
            </c:ext>
          </c:extLst>
        </c:ser>
        <c:ser>
          <c:idx val="3"/>
          <c:order val="3"/>
          <c:tx>
            <c:v>1 hour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pass'!$F$407:$G$407</c:f>
              <c:numCache>
                <c:formatCode>General</c:formatCode>
                <c:ptCount val="2"/>
                <c:pt idx="0">
                  <c:v>18.132444678243026</c:v>
                </c:pt>
                <c:pt idx="1">
                  <c:v>23.915727487397323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D-4315-94EA-1EB57C2B80FB}"/>
            </c:ext>
          </c:extLst>
        </c:ser>
        <c:ser>
          <c:idx val="4"/>
          <c:order val="4"/>
          <c:tx>
            <c:v>1.5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pass'!$F$408:$G$408</c:f>
              <c:numCache>
                <c:formatCode>General</c:formatCode>
                <c:ptCount val="2"/>
                <c:pt idx="0">
                  <c:v>23.600903473427707</c:v>
                </c:pt>
                <c:pt idx="1">
                  <c:v>31.057881731866416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D-4315-94EA-1EB57C2B80FB}"/>
            </c:ext>
          </c:extLst>
        </c:ser>
        <c:ser>
          <c:idx val="5"/>
          <c:order val="5"/>
          <c:tx>
            <c:v>2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pass'!$F$409:$G$409</c:f>
              <c:numCache>
                <c:formatCode>General</c:formatCode>
                <c:ptCount val="2"/>
                <c:pt idx="0">
                  <c:v>28.05582358826106</c:v>
                </c:pt>
                <c:pt idx="1">
                  <c:v>36.451774328945874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D-4315-94EA-1EB57C2B80FB}"/>
            </c:ext>
          </c:extLst>
        </c:ser>
        <c:ser>
          <c:idx val="6"/>
          <c:order val="6"/>
          <c:tx>
            <c:v>4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pass'!$F$410:$G$410</c:f>
              <c:numCache>
                <c:formatCode>General</c:formatCode>
                <c:ptCount val="2"/>
                <c:pt idx="0">
                  <c:v>36.983315583190482</c:v>
                </c:pt>
                <c:pt idx="1">
                  <c:v>52.837270859579547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3D-4315-94EA-1EB57C2B80FB}"/>
            </c:ext>
          </c:extLst>
        </c:ser>
        <c:ser>
          <c:idx val="8"/>
          <c:order val="7"/>
          <c:tx>
            <c:v>6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pass'!$F$411:$G$411</c:f>
              <c:numCache>
                <c:formatCode>General</c:formatCode>
                <c:ptCount val="2"/>
                <c:pt idx="0">
                  <c:v>45.2393069425557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3D-4315-94EA-1EB57C2B80FB}"/>
            </c:ext>
          </c:extLst>
        </c:ser>
        <c:ser>
          <c:idx val="12"/>
          <c:order val="8"/>
          <c:tx>
            <c:v>18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pass'!$F$412:$G$412</c:f>
              <c:numCache>
                <c:formatCode>General</c:formatCode>
                <c:ptCount val="2"/>
                <c:pt idx="0">
                  <c:v>69.976547533203629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3D-4315-94EA-1EB57C2B80FB}"/>
            </c:ext>
          </c:extLst>
        </c:ser>
        <c:ser>
          <c:idx val="16"/>
          <c:order val="9"/>
          <c:tx>
            <c:v>22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pass'!$F$413:$G$413</c:f>
              <c:numCache>
                <c:formatCode>General</c:formatCode>
                <c:ptCount val="2"/>
                <c:pt idx="0">
                  <c:v>74.466082705604393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3D-4315-94EA-1EB57C2B80FB}"/>
            </c:ext>
          </c:extLst>
        </c:ser>
        <c:ser>
          <c:idx val="7"/>
          <c:order val="10"/>
          <c:tx>
            <c:v>26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pass'!$F$414:$G$414</c:f>
              <c:numCache>
                <c:formatCode>General</c:formatCode>
                <c:ptCount val="2"/>
                <c:pt idx="0">
                  <c:v>79.549816912374212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315-94EA-1EB57C2B80FB}"/>
            </c:ext>
          </c:extLst>
        </c:ser>
        <c:ser>
          <c:idx val="9"/>
          <c:order val="11"/>
          <c:tx>
            <c:v>30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pass'!$F$415:$G$415</c:f>
              <c:numCache>
                <c:formatCode>General</c:formatCode>
                <c:ptCount val="2"/>
                <c:pt idx="0">
                  <c:v>85.52762241225193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3D-4315-94EA-1EB57C2B80FB}"/>
            </c:ext>
          </c:extLst>
        </c:ser>
        <c:ser>
          <c:idx val="10"/>
          <c:order val="12"/>
          <c:tx>
            <c:v>42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pass'!$F$416:$G$416</c:f>
              <c:numCache>
                <c:formatCode>General</c:formatCode>
                <c:ptCount val="2"/>
                <c:pt idx="0">
                  <c:v>99.117252205745189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3D-4315-94EA-1EB57C2B80FB}"/>
            </c:ext>
          </c:extLst>
        </c:ser>
        <c:ser>
          <c:idx val="11"/>
          <c:order val="13"/>
          <c:tx>
            <c:v>46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pass'!$F$417:$G$417</c:f>
              <c:numCache>
                <c:formatCode>General</c:formatCode>
                <c:ptCount val="2"/>
                <c:pt idx="0">
                  <c:v>103.01426864003734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3D-4315-94EA-1EB57C2B80FB}"/>
            </c:ext>
          </c:extLst>
        </c:ser>
        <c:ser>
          <c:idx val="13"/>
          <c:order val="14"/>
          <c:tx>
            <c:v>50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pass'!$F$418:$G$418</c:f>
              <c:numCache>
                <c:formatCode>General</c:formatCode>
                <c:ptCount val="2"/>
                <c:pt idx="0">
                  <c:v>105.22056257789208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D3D-4315-94EA-1EB57C2B80FB}"/>
            </c:ext>
          </c:extLst>
        </c:ser>
        <c:ser>
          <c:idx val="14"/>
          <c:order val="15"/>
          <c:tx>
            <c:v>54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pass'!$F$419:$G$419</c:f>
              <c:numCache>
                <c:formatCode>General</c:formatCode>
                <c:ptCount val="2"/>
                <c:pt idx="0">
                  <c:v>105.89353177678503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3D-4315-94EA-1EB57C2B80FB}"/>
            </c:ext>
          </c:extLst>
        </c:ser>
        <c:ser>
          <c:idx val="15"/>
          <c:order val="16"/>
          <c:tx>
            <c:v>65 hours</c:v>
          </c:tx>
          <c:invertIfNegative val="0"/>
          <c:cat>
            <c:strRef>
              <c:f>'Single pass'!$F$157:$G$157</c:f>
              <c:strCache>
                <c:ptCount val="2"/>
                <c:pt idx="0">
                  <c:v>2.3M</c:v>
                </c:pt>
                <c:pt idx="1">
                  <c:v>3M</c:v>
                </c:pt>
              </c:strCache>
            </c:strRef>
          </c:cat>
          <c:val>
            <c:numRef>
              <c:f>'Single pass'!$F$420:$G$420</c:f>
              <c:numCache>
                <c:formatCode>General</c:formatCode>
                <c:ptCount val="2"/>
                <c:pt idx="0">
                  <c:v>109.01371155929974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3D-4315-94EA-1EB57C2B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382272"/>
        <c:axId val="129388544"/>
      </c:barChart>
      <c:catAx>
        <c:axId val="12938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1">
                    <a:effectLst/>
                  </a:rPr>
                  <a:t>[NH</a:t>
                </a:r>
                <a:r>
                  <a:rPr lang="en-GB" sz="1000" b="1" baseline="-25000">
                    <a:effectLst/>
                  </a:rPr>
                  <a:t>3</a:t>
                </a:r>
                <a:r>
                  <a:rPr lang="en-GB" sz="1000" b="1">
                    <a:effectLst/>
                  </a:rPr>
                  <a:t>] (mol/l)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388544"/>
        <c:crosses val="autoZero"/>
        <c:auto val="1"/>
        <c:lblAlgn val="ctr"/>
        <c:lblOffset val="100"/>
        <c:noMultiLvlLbl val="0"/>
      </c:catAx>
      <c:valAx>
        <c:axId val="12938854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Ssol/S* (*10</a:t>
                </a:r>
                <a:r>
                  <a:rPr lang="en-US" sz="1000" b="1" i="0" baseline="30000">
                    <a:effectLst/>
                  </a:rPr>
                  <a:t>-5</a:t>
                </a:r>
                <a:r>
                  <a:rPr lang="en-US" sz="1000" b="1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38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673782795510906"/>
          <c:y val="5.8984153000238099E-2"/>
          <c:w val="6.500258425685404E-2"/>
          <c:h val="0.892332420028803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3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'Single pass'!$N$159:$N$168</c:f>
              <c:numCache>
                <c:formatCode>General</c:formatCode>
                <c:ptCount val="10"/>
                <c:pt idx="0">
                  <c:v>2.5432450019256099E-2</c:v>
                </c:pt>
                <c:pt idx="1">
                  <c:v>0.79536420943694019</c:v>
                </c:pt>
                <c:pt idx="2">
                  <c:v>1.5958862467318102</c:v>
                </c:pt>
                <c:pt idx="3">
                  <c:v>2.404602187873651</c:v>
                </c:pt>
                <c:pt idx="4">
                  <c:v>3.2305186372161119</c:v>
                </c:pt>
                <c:pt idx="5">
                  <c:v>4.0454034290776235</c:v>
                </c:pt>
                <c:pt idx="6">
                  <c:v>4.875317779103276</c:v>
                </c:pt>
                <c:pt idx="7">
                  <c:v>6.6756565775007397</c:v>
                </c:pt>
                <c:pt idx="8">
                  <c:v>10.291717935329109</c:v>
                </c:pt>
                <c:pt idx="9">
                  <c:v>14.59081299289563</c:v>
                </c:pt>
              </c:numCache>
            </c:numRef>
          </c:xVal>
          <c:yVal>
            <c:numRef>
              <c:f>'Single pass'!$Y$159:$Y$168</c:f>
              <c:numCache>
                <c:formatCode>General</c:formatCode>
                <c:ptCount val="10"/>
                <c:pt idx="0">
                  <c:v>1</c:v>
                </c:pt>
                <c:pt idx="1">
                  <c:v>1.04391716072581</c:v>
                </c:pt>
                <c:pt idx="2">
                  <c:v>1.0492134218144626</c:v>
                </c:pt>
                <c:pt idx="3">
                  <c:v>1.0599528561994938</c:v>
                </c:pt>
                <c:pt idx="4">
                  <c:v>1.0824969002424341</c:v>
                </c:pt>
                <c:pt idx="5">
                  <c:v>1.0680381313958143</c:v>
                </c:pt>
                <c:pt idx="6">
                  <c:v>1.0877367947868251</c:v>
                </c:pt>
                <c:pt idx="7">
                  <c:v>1.1810020772082279</c:v>
                </c:pt>
                <c:pt idx="8">
                  <c:v>1.1824857230134691</c:v>
                </c:pt>
                <c:pt idx="9">
                  <c:v>1.7485733380133592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50-4918-95E9-973F7E19852C}"/>
            </c:ext>
          </c:extLst>
        </c:ser>
        <c:ser>
          <c:idx val="1"/>
          <c:order val="1"/>
          <c:tx>
            <c:v>2.3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'Single pass'!$M$159:$M$165</c:f>
              <c:numCache>
                <c:formatCode>General</c:formatCode>
                <c:ptCount val="7"/>
                <c:pt idx="0">
                  <c:v>5.202818437341919E-2</c:v>
                </c:pt>
                <c:pt idx="1">
                  <c:v>1.6046458228107934</c:v>
                </c:pt>
                <c:pt idx="2">
                  <c:v>3.2089273306547597</c:v>
                </c:pt>
                <c:pt idx="3">
                  <c:v>4.8536280020810203</c:v>
                </c:pt>
                <c:pt idx="4">
                  <c:v>6.5521270517992178</c:v>
                </c:pt>
                <c:pt idx="5">
                  <c:v>8.3687777760026112</c:v>
                </c:pt>
                <c:pt idx="6">
                  <c:v>10.379957447034222</c:v>
                </c:pt>
              </c:numCache>
            </c:numRef>
          </c:xVal>
          <c:yVal>
            <c:numRef>
              <c:f>'Single pass'!$X$159:$X$165</c:f>
              <c:numCache>
                <c:formatCode>General</c:formatCode>
                <c:ptCount val="7"/>
                <c:pt idx="0">
                  <c:v>1</c:v>
                </c:pt>
                <c:pt idx="1">
                  <c:v>1.0290295519867041</c:v>
                </c:pt>
                <c:pt idx="2">
                  <c:v>1.0278284915278741</c:v>
                </c:pt>
                <c:pt idx="3">
                  <c:v>1.053724176125922</c:v>
                </c:pt>
                <c:pt idx="4">
                  <c:v>1.0881916344467251</c:v>
                </c:pt>
                <c:pt idx="5">
                  <c:v>1.1638888588826144</c:v>
                </c:pt>
                <c:pt idx="6">
                  <c:v>1.2885193510994428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50-4918-95E9-973F7E19852C}"/>
            </c:ext>
          </c:extLst>
        </c:ser>
        <c:ser>
          <c:idx val="2"/>
          <c:order val="2"/>
          <c:tx>
            <c:v>0.6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'Single pass'!$L$159:$L$170</c:f>
              <c:numCache>
                <c:formatCode>General</c:formatCode>
                <c:ptCount val="12"/>
                <c:pt idx="0">
                  <c:v>3.1604675679596313E-3</c:v>
                </c:pt>
                <c:pt idx="1">
                  <c:v>0.1015133042912356</c:v>
                </c:pt>
                <c:pt idx="2">
                  <c:v>0.2030611655335238</c:v>
                </c:pt>
                <c:pt idx="3">
                  <c:v>0.30442397751635036</c:v>
                </c:pt>
                <c:pt idx="4">
                  <c:v>0.40916328134861069</c:v>
                </c:pt>
                <c:pt idx="5">
                  <c:v>0.51500220143581255</c:v>
                </c:pt>
                <c:pt idx="6">
                  <c:v>0.62193108618526471</c:v>
                </c:pt>
                <c:pt idx="7">
                  <c:v>0.83584952041340799</c:v>
                </c:pt>
                <c:pt idx="8">
                  <c:v>1.2844610190526116</c:v>
                </c:pt>
                <c:pt idx="9">
                  <c:v>1.7409208404259275</c:v>
                </c:pt>
                <c:pt idx="10">
                  <c:v>2.199816332015009</c:v>
                </c:pt>
                <c:pt idx="11">
                  <c:v>2.6633494738475378</c:v>
                </c:pt>
              </c:numCache>
            </c:numRef>
          </c:xVal>
          <c:yVal>
            <c:numRef>
              <c:f>'Single pass'!$W$159:$W$170</c:f>
              <c:numCache>
                <c:formatCode>General</c:formatCode>
                <c:ptCount val="12"/>
                <c:pt idx="0">
                  <c:v>1</c:v>
                </c:pt>
                <c:pt idx="1">
                  <c:v>1.0730934760321977</c:v>
                </c:pt>
                <c:pt idx="2">
                  <c:v>1.0710214977024914</c:v>
                </c:pt>
                <c:pt idx="3">
                  <c:v>1.0690697900781969</c:v>
                </c:pt>
                <c:pt idx="4">
                  <c:v>1.1046815234354606</c:v>
                </c:pt>
                <c:pt idx="5">
                  <c:v>1.1162791349839258</c:v>
                </c:pt>
                <c:pt idx="6">
                  <c:v>1.1277749515449547</c:v>
                </c:pt>
                <c:pt idx="7">
                  <c:v>1.1280948658610832</c:v>
                </c:pt>
                <c:pt idx="8">
                  <c:v>1.1828721779101159</c:v>
                </c:pt>
                <c:pt idx="9">
                  <c:v>1.2035661695567892</c:v>
                </c:pt>
                <c:pt idx="10">
                  <c:v>1.2099884002431005</c:v>
                </c:pt>
                <c:pt idx="11">
                  <c:v>1.2222166811955335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50-4918-95E9-973F7E19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424000"/>
        <c:axId val="129704704"/>
      </c:scatterChart>
      <c:valAx>
        <c:axId val="12942400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704704"/>
        <c:crosses val="autoZero"/>
        <c:crossBetween val="midCat"/>
      </c:valAx>
      <c:valAx>
        <c:axId val="129704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424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 Qg=60ml/min; VOL liq=100ml; </a:t>
            </a:r>
            <a:r>
              <a:rPr lang="en-US" sz="1000" b="1" i="0" u="none" strike="noStrike" baseline="0">
                <a:effectLst/>
              </a:rPr>
              <a:t>NH3 2.3M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77E-2"/>
          <c:y val="0.10702295599707133"/>
          <c:w val="0.78813719181362629"/>
          <c:h val="0.71952231368613961"/>
        </c:manualLayout>
      </c:layout>
      <c:scatterChart>
        <c:scatterStyle val="lineMarker"/>
        <c:varyColors val="0"/>
        <c:ser>
          <c:idx val="6"/>
          <c:order val="0"/>
          <c:tx>
            <c:v>Zeus PTFE</c:v>
          </c:tx>
          <c:spPr>
            <a:ln w="28575">
              <a:noFill/>
            </a:ln>
          </c:spPr>
          <c:xVal>
            <c:numRef>
              <c:f>Sheet1!$CI$35:$CI$45</c:f>
              <c:numCache>
                <c:formatCode>0</c:formatCode>
                <c:ptCount val="11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200</c:v>
                </c:pt>
                <c:pt idx="7">
                  <c:v>1150</c:v>
                </c:pt>
                <c:pt idx="8" formatCode="General">
                  <c:v>1440</c:v>
                </c:pt>
                <c:pt idx="9" formatCode="General">
                  <c:v>2860</c:v>
                </c:pt>
                <c:pt idx="10" formatCode="General">
                  <c:v>3050</c:v>
                </c:pt>
              </c:numCache>
            </c:numRef>
          </c:xVal>
          <c:yVal>
            <c:numRef>
              <c:f>Sheet1!$CM$35:$CM$45</c:f>
              <c:numCache>
                <c:formatCode>General</c:formatCode>
                <c:ptCount val="11"/>
                <c:pt idx="0">
                  <c:v>10.019906818635263</c:v>
                </c:pt>
                <c:pt idx="1">
                  <c:v>9.3439702585355473</c:v>
                </c:pt>
                <c:pt idx="2">
                  <c:v>8.3626387599046446</c:v>
                </c:pt>
                <c:pt idx="3">
                  <c:v>6.8615242843153945</c:v>
                </c:pt>
                <c:pt idx="4">
                  <c:v>4.9734972650855935</c:v>
                </c:pt>
                <c:pt idx="5">
                  <c:v>3.8458349440079695</c:v>
                </c:pt>
                <c:pt idx="6">
                  <c:v>2.4057906808384475</c:v>
                </c:pt>
                <c:pt idx="7">
                  <c:v>1.3388390735035474</c:v>
                </c:pt>
                <c:pt idx="8">
                  <c:v>1.2032744690536277</c:v>
                </c:pt>
                <c:pt idx="9">
                  <c:v>0.41633348146643812</c:v>
                </c:pt>
                <c:pt idx="10">
                  <c:v>0.44956093986522588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C0-4F47-ACAB-E96AA7D2753D}"/>
            </c:ext>
          </c:extLst>
        </c:ser>
        <c:ser>
          <c:idx val="0"/>
          <c:order val="1"/>
          <c:tx>
            <c:v>Accurel PP 300/1200</c:v>
          </c:tx>
          <c:spPr>
            <a:ln w="28575">
              <a:noFill/>
            </a:ln>
          </c:spPr>
          <c:xVal>
            <c:numRef>
              <c:f>Sheet1!$CQ$35:$CQ$41</c:f>
              <c:numCache>
                <c:formatCode>0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300</c:v>
                </c:pt>
              </c:numCache>
            </c:numRef>
          </c:xVal>
          <c:yVal>
            <c:numRef>
              <c:f>Sheet1!$CU$35:$CU$41</c:f>
              <c:numCache>
                <c:formatCode>General</c:formatCode>
                <c:ptCount val="7"/>
                <c:pt idx="0">
                  <c:v>13.170544147268052</c:v>
                </c:pt>
                <c:pt idx="1">
                  <c:v>11.765438239958101</c:v>
                </c:pt>
                <c:pt idx="2">
                  <c:v>11.245473885343275</c:v>
                </c:pt>
                <c:pt idx="3">
                  <c:v>9.3272765946735685</c:v>
                </c:pt>
                <c:pt idx="4">
                  <c:v>7.6456971637256474</c:v>
                </c:pt>
                <c:pt idx="5">
                  <c:v>6.174179749346723</c:v>
                </c:pt>
                <c:pt idx="6">
                  <c:v>3.1941412409832712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C0-4F47-ACAB-E96AA7D2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88768"/>
        <c:axId val="113123712"/>
      </c:scatterChart>
      <c:valAx>
        <c:axId val="11308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/>
                  <a:t>Time</a:t>
                </a:r>
                <a:r>
                  <a:rPr lang="en-GB" sz="1500" baseline="0"/>
                  <a:t> measurement (min)</a:t>
                </a:r>
                <a:endParaRPr lang="en-GB" sz="1500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123712"/>
        <c:crosses val="autoZero"/>
        <c:crossBetween val="midCat"/>
      </c:valAx>
      <c:valAx>
        <c:axId val="1131237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JCO2 (*10^3molCO2/m2*s)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088768"/>
        <c:crosses val="autoZero"/>
        <c:crossBetween val="midCat"/>
        <c:majorUnit val="2"/>
        <c:minorUnit val="4.0000000000000015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1" i="0" baseline="0">
                <a:effectLst/>
              </a:rPr>
              <a:t>Single Pass; Ql=4.55ml/min; Qg=50ml/min</a:t>
            </a:r>
            <a:endParaRPr lang="en-GB" sz="10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3435366746730507E-2"/>
          <c:y val="0.13729638821751206"/>
          <c:w val="0.82471231834763326"/>
          <c:h val="0.66612804081287103"/>
        </c:manualLayout>
      </c:layout>
      <c:barChart>
        <c:barDir val="col"/>
        <c:grouping val="clustered"/>
        <c:varyColors val="0"/>
        <c:ser>
          <c:idx val="0"/>
          <c:order val="0"/>
          <c:tx>
            <c:v>0</c:v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pass'!$BK$169:$BK$172</c:f>
                <c:numCache>
                  <c:formatCode>General</c:formatCode>
                  <c:ptCount val="4"/>
                  <c:pt idx="0">
                    <c:v>0.04</c:v>
                  </c:pt>
                  <c:pt idx="1">
                    <c:v>5.4427418952027254E-2</c:v>
                  </c:pt>
                  <c:pt idx="2">
                    <c:v>1.5120728080362507E-2</c:v>
                  </c:pt>
                  <c:pt idx="3">
                    <c:v>1.0699097055127985E-2</c:v>
                  </c:pt>
                </c:numCache>
              </c:numRef>
            </c:plus>
            <c:minus>
              <c:numRef>
                <c:f>'Single pass'!$BK$169:$BK$172</c:f>
                <c:numCache>
                  <c:formatCode>General</c:formatCode>
                  <c:ptCount val="4"/>
                  <c:pt idx="0">
                    <c:v>0.04</c:v>
                  </c:pt>
                  <c:pt idx="1">
                    <c:v>5.4427418952027254E-2</c:v>
                  </c:pt>
                  <c:pt idx="2">
                    <c:v>1.5120728080362507E-2</c:v>
                  </c:pt>
                  <c:pt idx="3">
                    <c:v>1.0699097055127985E-2</c:v>
                  </c:pt>
                </c:numCache>
              </c:numRef>
            </c:minus>
          </c:errBars>
          <c:cat>
            <c:numRef>
              <c:f>'Single pass'!$AN$168:$AN$172</c:f>
              <c:numCache>
                <c:formatCode>General</c:formatCode>
                <c:ptCount val="5"/>
                <c:pt idx="0">
                  <c:v>0</c:v>
                </c:pt>
                <c:pt idx="1">
                  <c:v>0.6</c:v>
                </c:pt>
                <c:pt idx="2">
                  <c:v>2.2999999999999998</c:v>
                </c:pt>
                <c:pt idx="3">
                  <c:v>3</c:v>
                </c:pt>
                <c:pt idx="4">
                  <c:v>3.3</c:v>
                </c:pt>
              </c:numCache>
            </c:numRef>
          </c:cat>
          <c:val>
            <c:numRef>
              <c:f>'Single pass'!$AO$168:$AO$171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7-4190-B82B-6B2529509FE3}"/>
            </c:ext>
          </c:extLst>
        </c:ser>
        <c:ser>
          <c:idx val="1"/>
          <c:order val="1"/>
          <c:tx>
            <c:v>1</c:v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pass'!$BL$169:$BL$172</c:f>
                <c:numCache>
                  <c:formatCode>General</c:formatCode>
                  <c:ptCount val="4"/>
                  <c:pt idx="0">
                    <c:v>0.02</c:v>
                  </c:pt>
                  <c:pt idx="1">
                    <c:v>2.1386083423861918E-2</c:v>
                  </c:pt>
                  <c:pt idx="2">
                    <c:v>6.1647678745770122E-3</c:v>
                  </c:pt>
                  <c:pt idx="3">
                    <c:v>3.7071638106582253E-3</c:v>
                  </c:pt>
                </c:numCache>
              </c:numRef>
            </c:plus>
            <c:minus>
              <c:numRef>
                <c:f>'Single pass'!$BL$169:$BL$172</c:f>
                <c:numCache>
                  <c:formatCode>General</c:formatCode>
                  <c:ptCount val="4"/>
                  <c:pt idx="0">
                    <c:v>0.02</c:v>
                  </c:pt>
                  <c:pt idx="1">
                    <c:v>2.1386083423861918E-2</c:v>
                  </c:pt>
                  <c:pt idx="2">
                    <c:v>6.1647678745770122E-3</c:v>
                  </c:pt>
                  <c:pt idx="3">
                    <c:v>3.7071638106582253E-3</c:v>
                  </c:pt>
                </c:numCache>
              </c:numRef>
            </c:minus>
          </c:errBars>
          <c:cat>
            <c:numRef>
              <c:f>'Single pass'!$AN$168:$AN$172</c:f>
              <c:numCache>
                <c:formatCode>General</c:formatCode>
                <c:ptCount val="5"/>
                <c:pt idx="0">
                  <c:v>0</c:v>
                </c:pt>
                <c:pt idx="1">
                  <c:v>0.6</c:v>
                </c:pt>
                <c:pt idx="2">
                  <c:v>2.2999999999999998</c:v>
                </c:pt>
                <c:pt idx="3">
                  <c:v>3</c:v>
                </c:pt>
                <c:pt idx="4">
                  <c:v>3.3</c:v>
                </c:pt>
              </c:numCache>
            </c:numRef>
          </c:cat>
          <c:val>
            <c:numRef>
              <c:f>'Single pass'!$AP$168:$AP$171</c:f>
              <c:numCache>
                <c:formatCode>General</c:formatCode>
                <c:ptCount val="4"/>
                <c:pt idx="0">
                  <c:v>1.01</c:v>
                </c:pt>
                <c:pt idx="1">
                  <c:v>1.1200000000000001</c:v>
                </c:pt>
                <c:pt idx="2">
                  <c:v>1.03</c:v>
                </c:pt>
                <c:pt idx="3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7-4190-B82B-6B2529509FE3}"/>
            </c:ext>
          </c:extLst>
        </c:ser>
        <c:ser>
          <c:idx val="2"/>
          <c:order val="2"/>
          <c:tx>
            <c:v>2</c:v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pass'!$BM$169:$BM$172</c:f>
                <c:numCache>
                  <c:formatCode>General</c:formatCode>
                  <c:ptCount val="4"/>
                  <c:pt idx="0">
                    <c:v>0.03</c:v>
                  </c:pt>
                  <c:pt idx="1">
                    <c:v>7.7985251125457844E-2</c:v>
                  </c:pt>
                  <c:pt idx="2">
                    <c:v>5.5150431552011825E-3</c:v>
                  </c:pt>
                  <c:pt idx="3">
                    <c:v>3.1588790839325752E-3</c:v>
                  </c:pt>
                </c:numCache>
              </c:numRef>
            </c:plus>
            <c:minus>
              <c:numRef>
                <c:f>'Single pass'!$BM$169:$BM$172</c:f>
                <c:numCache>
                  <c:formatCode>General</c:formatCode>
                  <c:ptCount val="4"/>
                  <c:pt idx="0">
                    <c:v>0.03</c:v>
                  </c:pt>
                  <c:pt idx="1">
                    <c:v>7.7985251125457844E-2</c:v>
                  </c:pt>
                  <c:pt idx="2">
                    <c:v>5.5150431552011825E-3</c:v>
                  </c:pt>
                  <c:pt idx="3">
                    <c:v>3.1588790839325752E-3</c:v>
                  </c:pt>
                </c:numCache>
              </c:numRef>
            </c:minus>
          </c:errBars>
          <c:cat>
            <c:numRef>
              <c:f>'Single pass'!$AN$168:$AN$172</c:f>
              <c:numCache>
                <c:formatCode>General</c:formatCode>
                <c:ptCount val="5"/>
                <c:pt idx="0">
                  <c:v>0</c:v>
                </c:pt>
                <c:pt idx="1">
                  <c:v>0.6</c:v>
                </c:pt>
                <c:pt idx="2">
                  <c:v>2.2999999999999998</c:v>
                </c:pt>
                <c:pt idx="3">
                  <c:v>3</c:v>
                </c:pt>
                <c:pt idx="4">
                  <c:v>3.3</c:v>
                </c:pt>
              </c:numCache>
            </c:numRef>
          </c:cat>
          <c:val>
            <c:numRef>
              <c:f>'Single pass'!$AQ$168:$AQ$171</c:f>
              <c:numCache>
                <c:formatCode>General</c:formatCode>
                <c:ptCount val="4"/>
                <c:pt idx="0">
                  <c:v>1</c:v>
                </c:pt>
                <c:pt idx="1">
                  <c:v>1.2</c:v>
                </c:pt>
                <c:pt idx="2">
                  <c:v>1.03</c:v>
                </c:pt>
                <c:pt idx="3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7-4190-B82B-6B2529509FE3}"/>
            </c:ext>
          </c:extLst>
        </c:ser>
        <c:ser>
          <c:idx val="3"/>
          <c:order val="3"/>
          <c:tx>
            <c:v>3</c:v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pass'!$BN$169:$BN$172</c:f>
                <c:numCache>
                  <c:formatCode>General</c:formatCode>
                  <c:ptCount val="4"/>
                  <c:pt idx="1">
                    <c:v>2.3919327152992682E-2</c:v>
                  </c:pt>
                  <c:pt idx="2">
                    <c:v>3.7355106769575448E-3</c:v>
                  </c:pt>
                  <c:pt idx="3">
                    <c:v>4.6700980641243579E-3</c:v>
                  </c:pt>
                </c:numCache>
              </c:numRef>
            </c:plus>
            <c:minus>
              <c:numRef>
                <c:f>'Single pass'!$BN$169:$BN$172</c:f>
                <c:numCache>
                  <c:formatCode>General</c:formatCode>
                  <c:ptCount val="4"/>
                  <c:pt idx="1">
                    <c:v>2.3919327152992682E-2</c:v>
                  </c:pt>
                  <c:pt idx="2">
                    <c:v>3.7355106769575448E-3</c:v>
                  </c:pt>
                  <c:pt idx="3">
                    <c:v>4.6700980641243579E-3</c:v>
                  </c:pt>
                </c:numCache>
              </c:numRef>
            </c:minus>
          </c:errBars>
          <c:cat>
            <c:numRef>
              <c:f>'Single pass'!$AN$168:$AN$172</c:f>
              <c:numCache>
                <c:formatCode>General</c:formatCode>
                <c:ptCount val="5"/>
                <c:pt idx="0">
                  <c:v>0</c:v>
                </c:pt>
                <c:pt idx="1">
                  <c:v>0.6</c:v>
                </c:pt>
                <c:pt idx="2">
                  <c:v>2.2999999999999998</c:v>
                </c:pt>
                <c:pt idx="3">
                  <c:v>3</c:v>
                </c:pt>
                <c:pt idx="4">
                  <c:v>3.3</c:v>
                </c:pt>
              </c:numCache>
            </c:numRef>
          </c:cat>
          <c:val>
            <c:numRef>
              <c:f>'Single pass'!$AR$168:$AR$171</c:f>
              <c:numCache>
                <c:formatCode>General</c:formatCode>
                <c:ptCount val="4"/>
                <c:pt idx="1">
                  <c:v>1.22</c:v>
                </c:pt>
                <c:pt idx="2">
                  <c:v>1.03</c:v>
                </c:pt>
                <c:pt idx="3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7-4190-B82B-6B2529509FE3}"/>
            </c:ext>
          </c:extLst>
        </c:ser>
        <c:ser>
          <c:idx val="4"/>
          <c:order val="4"/>
          <c:tx>
            <c:v>5</c:v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pass'!$BO$169:$BO$172</c:f>
                <c:numCache>
                  <c:formatCode>General</c:formatCode>
                  <c:ptCount val="4"/>
                  <c:pt idx="2">
                    <c:v>7.9826988127281936E-3</c:v>
                  </c:pt>
                  <c:pt idx="3">
                    <c:v>1.2373163505861887E-2</c:v>
                  </c:pt>
                </c:numCache>
              </c:numRef>
            </c:plus>
            <c:minus>
              <c:numRef>
                <c:f>'Single pass'!$BO$169:$BO$172</c:f>
                <c:numCache>
                  <c:formatCode>General</c:formatCode>
                  <c:ptCount val="4"/>
                  <c:pt idx="2">
                    <c:v>7.9826988127281936E-3</c:v>
                  </c:pt>
                  <c:pt idx="3">
                    <c:v>1.2373163505861887E-2</c:v>
                  </c:pt>
                </c:numCache>
              </c:numRef>
            </c:minus>
          </c:errBars>
          <c:cat>
            <c:numRef>
              <c:f>'Single pass'!$AN$168:$AN$172</c:f>
              <c:numCache>
                <c:formatCode>General</c:formatCode>
                <c:ptCount val="5"/>
                <c:pt idx="0">
                  <c:v>0</c:v>
                </c:pt>
                <c:pt idx="1">
                  <c:v>0.6</c:v>
                </c:pt>
                <c:pt idx="2">
                  <c:v>2.2999999999999998</c:v>
                </c:pt>
                <c:pt idx="3">
                  <c:v>3</c:v>
                </c:pt>
                <c:pt idx="4">
                  <c:v>3.3</c:v>
                </c:pt>
              </c:numCache>
            </c:numRef>
          </c:cat>
          <c:val>
            <c:numRef>
              <c:f>'Single pass'!$AS$168:$AS$171</c:f>
              <c:numCache>
                <c:formatCode>General</c:formatCode>
                <c:ptCount val="4"/>
                <c:pt idx="2">
                  <c:v>1.05</c:v>
                </c:pt>
                <c:pt idx="3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17-4190-B82B-6B2529509FE3}"/>
            </c:ext>
          </c:extLst>
        </c:ser>
        <c:ser>
          <c:idx val="5"/>
          <c:order val="5"/>
          <c:tx>
            <c:v>7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pass'!$BP$169:$BP$172</c:f>
                <c:numCache>
                  <c:formatCode>General</c:formatCode>
                  <c:ptCount val="4"/>
                  <c:pt idx="2">
                    <c:v>5.7586380916798486E-3</c:v>
                  </c:pt>
                  <c:pt idx="3">
                    <c:v>5.4899551286463604E-3</c:v>
                  </c:pt>
                </c:numCache>
              </c:numRef>
            </c:plus>
            <c:minus>
              <c:numRef>
                <c:f>'Single pass'!$BP$169:$BP$172</c:f>
                <c:numCache>
                  <c:formatCode>General</c:formatCode>
                  <c:ptCount val="4"/>
                  <c:pt idx="2">
                    <c:v>5.7586380916798486E-3</c:v>
                  </c:pt>
                  <c:pt idx="3">
                    <c:v>5.4899551286463604E-3</c:v>
                  </c:pt>
                </c:numCache>
              </c:numRef>
            </c:minus>
          </c:errBars>
          <c:cat>
            <c:numRef>
              <c:f>'Single pass'!$AN$168:$AN$172</c:f>
              <c:numCache>
                <c:formatCode>General</c:formatCode>
                <c:ptCount val="5"/>
                <c:pt idx="0">
                  <c:v>0</c:v>
                </c:pt>
                <c:pt idx="1">
                  <c:v>0.6</c:v>
                </c:pt>
                <c:pt idx="2">
                  <c:v>2.2999999999999998</c:v>
                </c:pt>
                <c:pt idx="3">
                  <c:v>3</c:v>
                </c:pt>
                <c:pt idx="4">
                  <c:v>3.3</c:v>
                </c:pt>
              </c:numCache>
            </c:numRef>
          </c:cat>
          <c:val>
            <c:numRef>
              <c:f>'Single pass'!$AT$168:$AT$171</c:f>
              <c:numCache>
                <c:formatCode>General</c:formatCode>
                <c:ptCount val="4"/>
                <c:pt idx="2">
                  <c:v>1.0900000000000001</c:v>
                </c:pt>
                <c:pt idx="3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17-4190-B82B-6B2529509FE3}"/>
            </c:ext>
          </c:extLst>
        </c:ser>
        <c:ser>
          <c:idx val="6"/>
          <c:order val="6"/>
          <c:tx>
            <c:v>10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pass'!$BQ$169:$BQ$172</c:f>
                <c:numCache>
                  <c:formatCode>General</c:formatCode>
                  <c:ptCount val="4"/>
                  <c:pt idx="2">
                    <c:v>6.6086864769263953E-2</c:v>
                  </c:pt>
                  <c:pt idx="3">
                    <c:v>7.1580161986379972E-3</c:v>
                  </c:pt>
                </c:numCache>
              </c:numRef>
            </c:plus>
            <c:minus>
              <c:numRef>
                <c:f>'Single pass'!$BQ$169:$BQ$172</c:f>
                <c:numCache>
                  <c:formatCode>General</c:formatCode>
                  <c:ptCount val="4"/>
                  <c:pt idx="2">
                    <c:v>6.6086864769263953E-2</c:v>
                  </c:pt>
                  <c:pt idx="3">
                    <c:v>7.1580161986379972E-3</c:v>
                  </c:pt>
                </c:numCache>
              </c:numRef>
            </c:minus>
          </c:errBars>
          <c:cat>
            <c:numRef>
              <c:f>'Single pass'!$AN$168:$AN$172</c:f>
              <c:numCache>
                <c:formatCode>General</c:formatCode>
                <c:ptCount val="5"/>
                <c:pt idx="0">
                  <c:v>0</c:v>
                </c:pt>
                <c:pt idx="1">
                  <c:v>0.6</c:v>
                </c:pt>
                <c:pt idx="2">
                  <c:v>2.2999999999999998</c:v>
                </c:pt>
                <c:pt idx="3">
                  <c:v>3</c:v>
                </c:pt>
                <c:pt idx="4">
                  <c:v>3.3</c:v>
                </c:pt>
              </c:numCache>
            </c:numRef>
          </c:cat>
          <c:val>
            <c:numRef>
              <c:f>'Single pass'!$AU$168:$AU$171</c:f>
              <c:numCache>
                <c:formatCode>General</c:formatCode>
                <c:ptCount val="4"/>
                <c:pt idx="2">
                  <c:v>1.29</c:v>
                </c:pt>
                <c:pt idx="3">
                  <c:v>1.1819999999999999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17-4190-B82B-6B2529509FE3}"/>
            </c:ext>
          </c:extLst>
        </c:ser>
        <c:ser>
          <c:idx val="8"/>
          <c:order val="7"/>
          <c:tx>
            <c:v>15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pass'!$BR$169:$BR$173</c:f>
                <c:numCache>
                  <c:formatCode>General</c:formatCode>
                  <c:ptCount val="5"/>
                  <c:pt idx="3">
                    <c:v>2.5286158879300425E-3</c:v>
                  </c:pt>
                  <c:pt idx="4">
                    <c:v>6.0818751347776388E-2</c:v>
                  </c:pt>
                </c:numCache>
              </c:numRef>
            </c:plus>
            <c:minus>
              <c:numRef>
                <c:f>'Single pass'!$BR$169:$BR$173</c:f>
                <c:numCache>
                  <c:formatCode>General</c:formatCode>
                  <c:ptCount val="5"/>
                  <c:pt idx="3">
                    <c:v>2.5286158879300425E-3</c:v>
                  </c:pt>
                  <c:pt idx="4">
                    <c:v>6.0818751347776388E-2</c:v>
                  </c:pt>
                </c:numCache>
              </c:numRef>
            </c:minus>
          </c:errBars>
          <c:cat>
            <c:numRef>
              <c:f>'Single pass'!$AN$168:$AN$172</c:f>
              <c:numCache>
                <c:formatCode>General</c:formatCode>
                <c:ptCount val="5"/>
                <c:pt idx="0">
                  <c:v>0</c:v>
                </c:pt>
                <c:pt idx="1">
                  <c:v>0.6</c:v>
                </c:pt>
                <c:pt idx="2">
                  <c:v>2.2999999999999998</c:v>
                </c:pt>
                <c:pt idx="3">
                  <c:v>3</c:v>
                </c:pt>
                <c:pt idx="4">
                  <c:v>3.3</c:v>
                </c:pt>
              </c:numCache>
            </c:numRef>
          </c:cat>
          <c:val>
            <c:numRef>
              <c:f>'Single pass'!$AV$168:$AV$172</c:f>
              <c:numCache>
                <c:formatCode>General</c:formatCode>
                <c:ptCount val="5"/>
                <c:pt idx="3">
                  <c:v>1.75</c:v>
                </c:pt>
                <c:pt idx="4" formatCode="0.00">
                  <c:v>0.81599308105145418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17-4190-B82B-6B2529509FE3}"/>
            </c:ext>
          </c:extLst>
        </c:ser>
        <c:ser>
          <c:idx val="7"/>
          <c:order val="8"/>
          <c:tx>
            <c:v>26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pass'!$BS$169:$BS$173</c:f>
                <c:numCache>
                  <c:formatCode>General</c:formatCode>
                  <c:ptCount val="5"/>
                  <c:pt idx="4">
                    <c:v>3.9378617214333056E-2</c:v>
                  </c:pt>
                </c:numCache>
              </c:numRef>
            </c:plus>
            <c:minus>
              <c:numRef>
                <c:f>'Single pass'!$BS$169:$BS$173</c:f>
                <c:numCache>
                  <c:formatCode>General</c:formatCode>
                  <c:ptCount val="5"/>
                  <c:pt idx="4">
                    <c:v>3.9378617214333056E-2</c:v>
                  </c:pt>
                </c:numCache>
              </c:numRef>
            </c:minus>
          </c:errBars>
          <c:val>
            <c:numRef>
              <c:f>'Single pass'!$AW$168:$AW$172</c:f>
              <c:numCache>
                <c:formatCode>General</c:formatCode>
                <c:ptCount val="5"/>
                <c:pt idx="4" formatCode="0.00">
                  <c:v>0.72021664588063727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17-4190-B82B-6B2529509FE3}"/>
            </c:ext>
          </c:extLst>
        </c:ser>
        <c:ser>
          <c:idx val="9"/>
          <c:order val="9"/>
          <c:tx>
            <c:v>36</c:v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pass'!$BT$169:$BT$173</c:f>
                <c:numCache>
                  <c:formatCode>General</c:formatCode>
                  <c:ptCount val="5"/>
                  <c:pt idx="4">
                    <c:v>2.3030790094804486E-2</c:v>
                  </c:pt>
                </c:numCache>
              </c:numRef>
            </c:plus>
            <c:minus>
              <c:numRef>
                <c:f>'Single pass'!$BT$169:$BT$173</c:f>
                <c:numCache>
                  <c:formatCode>General</c:formatCode>
                  <c:ptCount val="5"/>
                  <c:pt idx="4">
                    <c:v>2.3030790094804486E-2</c:v>
                  </c:pt>
                </c:numCache>
              </c:numRef>
            </c:minus>
          </c:errBars>
          <c:val>
            <c:numRef>
              <c:f>'Single pass'!$AX$168:$AX$172</c:f>
              <c:numCache>
                <c:formatCode>General</c:formatCode>
                <c:ptCount val="5"/>
                <c:pt idx="4" formatCode="0.00">
                  <c:v>0.64396330122480816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17-4190-B82B-6B2529509FE3}"/>
            </c:ext>
          </c:extLst>
        </c:ser>
        <c:ser>
          <c:idx val="10"/>
          <c:order val="10"/>
          <c:tx>
            <c:v>47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pass'!$BU$169:$BU$173</c:f>
                <c:numCache>
                  <c:formatCode>General</c:formatCode>
                  <c:ptCount val="5"/>
                  <c:pt idx="4">
                    <c:v>1.0985106263293298E-2</c:v>
                  </c:pt>
                </c:numCache>
              </c:numRef>
            </c:plus>
            <c:minus>
              <c:numRef>
                <c:f>'Single pass'!$BU$169:$BU$173</c:f>
                <c:numCache>
                  <c:formatCode>General</c:formatCode>
                  <c:ptCount val="5"/>
                  <c:pt idx="4">
                    <c:v>1.0985106263293298E-2</c:v>
                  </c:pt>
                </c:numCache>
              </c:numRef>
            </c:minus>
          </c:errBars>
          <c:val>
            <c:numRef>
              <c:f>'Single pass'!$AY$168:$AY$172</c:f>
              <c:numCache>
                <c:formatCode>General</c:formatCode>
                <c:ptCount val="5"/>
                <c:pt idx="4" formatCode="0.00">
                  <c:v>0.57212572545168494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17-4190-B82B-6B2529509FE3}"/>
            </c:ext>
          </c:extLst>
        </c:ser>
        <c:ser>
          <c:idx val="11"/>
          <c:order val="11"/>
          <c:tx>
            <c:v>57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pass'!$BV$169:$BV$173</c:f>
                <c:numCache>
                  <c:formatCode>General</c:formatCode>
                  <c:ptCount val="5"/>
                  <c:pt idx="4">
                    <c:v>1.8942122827814156E-2</c:v>
                  </c:pt>
                </c:numCache>
              </c:numRef>
            </c:plus>
            <c:minus>
              <c:numRef>
                <c:f>'Single pass'!$BV$169:$BV$173</c:f>
                <c:numCache>
                  <c:formatCode>General</c:formatCode>
                  <c:ptCount val="5"/>
                  <c:pt idx="4">
                    <c:v>1.8942122827814156E-2</c:v>
                  </c:pt>
                </c:numCache>
              </c:numRef>
            </c:minus>
          </c:errBars>
          <c:val>
            <c:numRef>
              <c:f>'Single pass'!$AZ$168:$AZ$172</c:f>
              <c:numCache>
                <c:formatCode>General</c:formatCode>
                <c:ptCount val="5"/>
                <c:pt idx="4" formatCode="0.00">
                  <c:v>0.57213921011866997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17-4190-B82B-6B2529509FE3}"/>
            </c:ext>
          </c:extLst>
        </c:ser>
        <c:ser>
          <c:idx val="12"/>
          <c:order val="12"/>
          <c:tx>
            <c:v>66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pass'!$BW$169:$BW$173</c:f>
                <c:numCache>
                  <c:formatCode>General</c:formatCode>
                  <c:ptCount val="5"/>
                  <c:pt idx="4">
                    <c:v>9.2314965285494877E-4</c:v>
                  </c:pt>
                </c:numCache>
              </c:numRef>
            </c:plus>
            <c:minus>
              <c:numRef>
                <c:f>'Single pass'!$BW$169:$BW$173</c:f>
                <c:numCache>
                  <c:formatCode>General</c:formatCode>
                  <c:ptCount val="5"/>
                  <c:pt idx="4">
                    <c:v>9.2314965285494877E-4</c:v>
                  </c:pt>
                </c:numCache>
              </c:numRef>
            </c:minus>
          </c:errBars>
          <c:val>
            <c:numRef>
              <c:f>'Single pass'!$BA$168:$BA$172</c:f>
              <c:numCache>
                <c:formatCode>General</c:formatCode>
                <c:ptCount val="5"/>
                <c:pt idx="4" formatCode="0.00">
                  <c:v>0.54962992606903793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17-4190-B82B-6B2529509FE3}"/>
            </c:ext>
          </c:extLst>
        </c:ser>
        <c:ser>
          <c:idx val="13"/>
          <c:order val="13"/>
          <c:tx>
            <c:v>75</c:v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pass'!$BX$169:$BX$173</c:f>
                <c:numCache>
                  <c:formatCode>General</c:formatCode>
                  <c:ptCount val="5"/>
                  <c:pt idx="4">
                    <c:v>1.8821309405207876E-2</c:v>
                  </c:pt>
                </c:numCache>
              </c:numRef>
            </c:plus>
            <c:minus>
              <c:numRef>
                <c:f>'Single pass'!$BX$169:$BX$173</c:f>
                <c:numCache>
                  <c:formatCode>General</c:formatCode>
                  <c:ptCount val="5"/>
                  <c:pt idx="4">
                    <c:v>1.8821309405207876E-2</c:v>
                  </c:pt>
                </c:numCache>
              </c:numRef>
            </c:minus>
          </c:errBars>
          <c:val>
            <c:numRef>
              <c:f>'Single pass'!$BB$168:$BB$172</c:f>
              <c:numCache>
                <c:formatCode>General</c:formatCode>
                <c:ptCount val="5"/>
                <c:pt idx="4" formatCode="0.00">
                  <c:v>0.56713977122640835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17-4190-B82B-6B2529509FE3}"/>
            </c:ext>
          </c:extLst>
        </c:ser>
        <c:ser>
          <c:idx val="14"/>
          <c:order val="14"/>
          <c:tx>
            <c:v>84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pass'!$BY$169:$BY$173</c:f>
                <c:numCache>
                  <c:formatCode>General</c:formatCode>
                  <c:ptCount val="5"/>
                  <c:pt idx="4">
                    <c:v>1.1367820447103327E-2</c:v>
                  </c:pt>
                </c:numCache>
              </c:numRef>
            </c:plus>
            <c:minus>
              <c:numRef>
                <c:f>'Single pass'!$BY$169:$BY$173</c:f>
                <c:numCache>
                  <c:formatCode>General</c:formatCode>
                  <c:ptCount val="5"/>
                  <c:pt idx="4">
                    <c:v>1.1367820447103327E-2</c:v>
                  </c:pt>
                </c:numCache>
              </c:numRef>
            </c:minus>
          </c:errBars>
          <c:val>
            <c:numRef>
              <c:f>'Single pass'!$BC$168:$BC$172</c:f>
              <c:numCache>
                <c:formatCode>General</c:formatCode>
                <c:ptCount val="5"/>
                <c:pt idx="4" formatCode="0.00">
                  <c:v>0.55712402244285386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17-4190-B82B-6B2529509FE3}"/>
            </c:ext>
          </c:extLst>
        </c:ser>
        <c:ser>
          <c:idx val="15"/>
          <c:order val="15"/>
          <c:tx>
            <c:v>94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pass'!$BZ$169:$BZ$173</c:f>
                <c:numCache>
                  <c:formatCode>General</c:formatCode>
                  <c:ptCount val="5"/>
                  <c:pt idx="4">
                    <c:v>3.8893063263926109E-2</c:v>
                  </c:pt>
                </c:numCache>
              </c:numRef>
            </c:plus>
            <c:minus>
              <c:numRef>
                <c:f>'Single pass'!$BZ$169:$BZ$173</c:f>
                <c:numCache>
                  <c:formatCode>General</c:formatCode>
                  <c:ptCount val="5"/>
                  <c:pt idx="4">
                    <c:v>3.8893063263926109E-2</c:v>
                  </c:pt>
                </c:numCache>
              </c:numRef>
            </c:minus>
          </c:errBars>
          <c:val>
            <c:numRef>
              <c:f>'Single pass'!$BD$168:$BD$172</c:f>
              <c:numCache>
                <c:formatCode>General</c:formatCode>
                <c:ptCount val="5"/>
                <c:pt idx="4" formatCode="0.00">
                  <c:v>0.57212572545168494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17-4190-B82B-6B2529509FE3}"/>
            </c:ext>
          </c:extLst>
        </c:ser>
        <c:ser>
          <c:idx val="16"/>
          <c:order val="16"/>
          <c:tx>
            <c:v>104</c:v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pass'!$CA$169:$CA$173</c:f>
                <c:numCache>
                  <c:formatCode>General</c:formatCode>
                  <c:ptCount val="5"/>
                  <c:pt idx="4">
                    <c:v>1.0092500752081901E-3</c:v>
                  </c:pt>
                </c:numCache>
              </c:numRef>
            </c:plus>
            <c:minus>
              <c:numRef>
                <c:f>'Single pass'!$CA$169:$CA$173</c:f>
                <c:numCache>
                  <c:formatCode>General</c:formatCode>
                  <c:ptCount val="5"/>
                  <c:pt idx="4">
                    <c:v>1.0092500752081901E-3</c:v>
                  </c:pt>
                </c:numCache>
              </c:numRef>
            </c:minus>
          </c:errBars>
          <c:val>
            <c:numRef>
              <c:f>'Single pass'!$BE$168:$BE$172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 formatCode="0.00">
                  <c:v>0.57213471523058068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517-4190-B82B-6B2529509FE3}"/>
            </c:ext>
          </c:extLst>
        </c:ser>
        <c:ser>
          <c:idx val="17"/>
          <c:order val="17"/>
          <c:tx>
            <c:v>113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pass'!$CB$169:$CB$173</c:f>
                <c:numCache>
                  <c:formatCode>General</c:formatCode>
                  <c:ptCount val="5"/>
                  <c:pt idx="4">
                    <c:v>6.2871310014545601E-3</c:v>
                  </c:pt>
                </c:numCache>
              </c:numRef>
            </c:plus>
            <c:minus>
              <c:numRef>
                <c:f>'Single pass'!$CB$169:$CB$173</c:f>
                <c:numCache>
                  <c:formatCode>General</c:formatCode>
                  <c:ptCount val="5"/>
                  <c:pt idx="4">
                    <c:v>6.2871310014545601E-3</c:v>
                  </c:pt>
                </c:numCache>
              </c:numRef>
            </c:minus>
          </c:errBars>
          <c:val>
            <c:numRef>
              <c:f>'Single pass'!$BF$168:$BF$172</c:f>
              <c:numCache>
                <c:formatCode>General</c:formatCode>
                <c:ptCount val="5"/>
                <c:pt idx="4" formatCode="0.00">
                  <c:v>8.8114198593005142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17-4190-B82B-6B2529509FE3}"/>
            </c:ext>
          </c:extLst>
        </c:ser>
        <c:ser>
          <c:idx val="18"/>
          <c:order val="18"/>
          <c:tx>
            <c:v>120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pass'!$CC$169:$CC$173</c:f>
                <c:numCache>
                  <c:formatCode>General</c:formatCode>
                  <c:ptCount val="5"/>
                  <c:pt idx="4">
                    <c:v>6.2871310014545601E-3</c:v>
                  </c:pt>
                </c:numCache>
              </c:numRef>
            </c:plus>
            <c:minus>
              <c:numRef>
                <c:f>'Single pass'!$CC$169:$CC$173</c:f>
                <c:numCache>
                  <c:formatCode>General</c:formatCode>
                  <c:ptCount val="5"/>
                  <c:pt idx="4">
                    <c:v>6.2871310014545601E-3</c:v>
                  </c:pt>
                </c:numCache>
              </c:numRef>
            </c:minus>
          </c:errBars>
          <c:val>
            <c:numRef>
              <c:f>'Single pass'!$BG$168:$BG$172</c:f>
              <c:numCache>
                <c:formatCode>General</c:formatCode>
                <c:ptCount val="5"/>
                <c:pt idx="4" formatCode="0.00">
                  <c:v>4.4605965577610647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17-4190-B82B-6B2529509FE3}"/>
            </c:ext>
          </c:extLst>
        </c:ser>
        <c:ser>
          <c:idx val="19"/>
          <c:order val="19"/>
          <c:tx>
            <c:v>126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pass'!$CD$169:$CD$173</c:f>
                <c:numCache>
                  <c:formatCode>General</c:formatCode>
                  <c:ptCount val="5"/>
                  <c:pt idx="4">
                    <c:v>6.2871310014545601E-3</c:v>
                  </c:pt>
                </c:numCache>
              </c:numRef>
            </c:plus>
            <c:minus>
              <c:numRef>
                <c:f>'Single pass'!$CD$169:$CD$173</c:f>
                <c:numCache>
                  <c:formatCode>General</c:formatCode>
                  <c:ptCount val="5"/>
                  <c:pt idx="4">
                    <c:v>6.2871310014545601E-3</c:v>
                  </c:pt>
                </c:numCache>
              </c:numRef>
            </c:minus>
          </c:errBars>
          <c:val>
            <c:numRef>
              <c:f>'Single pass'!$BH$168:$BH$172</c:f>
              <c:numCache>
                <c:formatCode>General</c:formatCode>
                <c:ptCount val="5"/>
                <c:pt idx="4" formatCode="0.00">
                  <c:v>3.2984511132478538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517-4190-B82B-6B2529509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7536"/>
        <c:axId val="129467904"/>
      </c:barChart>
      <c:catAx>
        <c:axId val="12945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GB" sz="1000" b="0">
                    <a:effectLst/>
                  </a:rPr>
                  <a:t>Aqueous ammonia concentrations, (mol L</a:t>
                </a:r>
                <a:r>
                  <a:rPr lang="en-GB" sz="1000" b="0" baseline="30000">
                    <a:effectLst/>
                  </a:rPr>
                  <a:t>-1</a:t>
                </a:r>
                <a:r>
                  <a:rPr lang="en-GB" sz="1000" b="0">
                    <a:effectLst/>
                  </a:rPr>
                  <a:t>) </a:t>
                </a:r>
                <a:r>
                  <a:rPr lang="en-GB" sz="1000" b="0" baseline="0">
                    <a:effectLst/>
                  </a:rPr>
                  <a:t> </a:t>
                </a:r>
                <a:endParaRPr lang="en-GB" sz="1000" b="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467904"/>
        <c:crossesAt val="0.1"/>
        <c:auto val="1"/>
        <c:lblAlgn val="ctr"/>
        <c:lblOffset val="100"/>
        <c:noMultiLvlLbl val="0"/>
      </c:catAx>
      <c:valAx>
        <c:axId val="129467904"/>
        <c:scaling>
          <c:logBase val="10"/>
          <c:orientation val="minMax"/>
          <c:max val="10"/>
          <c:min val="0.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sz="1000" b="0" i="0" baseline="0">
                    <a:effectLst/>
                  </a:rPr>
                  <a:t>JCO</a:t>
                </a:r>
                <a:r>
                  <a:rPr lang="en-US" sz="1000" b="0" i="0" baseline="-25000">
                    <a:effectLst/>
                  </a:rPr>
                  <a:t>2</a:t>
                </a:r>
                <a:r>
                  <a:rPr lang="en-US" sz="1000" b="0" i="0" baseline="0">
                    <a:effectLst/>
                  </a:rPr>
                  <a:t>(t)/JCO</a:t>
                </a:r>
                <a:r>
                  <a:rPr lang="en-US" sz="1000" b="0" i="0" baseline="-25000">
                    <a:effectLst/>
                  </a:rPr>
                  <a:t>2init </a:t>
                </a:r>
                <a:r>
                  <a:rPr lang="en-US" sz="1000" b="0" i="0" baseline="0">
                    <a:effectLst/>
                  </a:rPr>
                  <a:t>(-)</a:t>
                </a:r>
                <a:endParaRPr lang="en-GB" sz="1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5.1746438215241712E-3"/>
              <c:y val="0.309446743466303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945753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88945597331401294"/>
          <c:y val="0.12651620580355222"/>
          <c:w val="8.704417491600365E-2"/>
          <c:h val="0.824238383279835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08365873293248"/>
          <c:y val="3.1515672230929263E-2"/>
          <c:w val="0.67324371413650097"/>
          <c:h val="0.85484796276941744"/>
        </c:manualLayout>
      </c:layout>
      <c:barChart>
        <c:barDir val="col"/>
        <c:grouping val="clustered"/>
        <c:varyColors val="0"/>
        <c:ser>
          <c:idx val="0"/>
          <c:order val="0"/>
          <c:tx>
            <c:v>0</c:v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pass'!$BU$210:$BU$212</c:f>
                <c:numCache>
                  <c:formatCode>General</c:formatCode>
                  <c:ptCount val="3"/>
                  <c:pt idx="0">
                    <c:v>1.4785562627177288E-6</c:v>
                  </c:pt>
                  <c:pt idx="1">
                    <c:v>1.3978364332299024E-6</c:v>
                  </c:pt>
                  <c:pt idx="2">
                    <c:v>3.7380879922762364E-6</c:v>
                  </c:pt>
                </c:numCache>
              </c:numRef>
            </c:plus>
            <c:minus>
              <c:numRef>
                <c:f>'Single pass'!$BU$210:$BU$212</c:f>
                <c:numCache>
                  <c:formatCode>General</c:formatCode>
                  <c:ptCount val="3"/>
                  <c:pt idx="0">
                    <c:v>1.4785562627177288E-6</c:v>
                  </c:pt>
                  <c:pt idx="1">
                    <c:v>1.3978364332299024E-6</c:v>
                  </c:pt>
                  <c:pt idx="2">
                    <c:v>3.7380879922762364E-6</c:v>
                  </c:pt>
                </c:numCache>
              </c:numRef>
            </c:minus>
          </c:errBars>
          <c:cat>
            <c:numRef>
              <c:f>'Single pass'!$AX$210:$AX$212</c:f>
              <c:numCache>
                <c:formatCode>0.0</c:formatCode>
                <c:ptCount val="3"/>
                <c:pt idx="0">
                  <c:v>0.6</c:v>
                </c:pt>
                <c:pt idx="1">
                  <c:v>2.2999999999999998</c:v>
                </c:pt>
                <c:pt idx="2">
                  <c:v>3</c:v>
                </c:pt>
              </c:numCache>
            </c:numRef>
          </c:cat>
          <c:val>
            <c:numRef>
              <c:f>'Single pass'!$AY$210:$AY$212</c:f>
              <c:numCache>
                <c:formatCode>General</c:formatCode>
                <c:ptCount val="3"/>
                <c:pt idx="0">
                  <c:v>1.9758355314503624E-4</c:v>
                </c:pt>
                <c:pt idx="1">
                  <c:v>1.9758355314503624E-4</c:v>
                </c:pt>
                <c:pt idx="2">
                  <c:v>1.9758355314503624E-4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9-4B87-AF6C-773C05313ABF}"/>
            </c:ext>
          </c:extLst>
        </c:ser>
        <c:ser>
          <c:idx val="1"/>
          <c:order val="1"/>
          <c:tx>
            <c:v>1</c:v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pass'!$BV$210:$BV$212</c:f>
                <c:numCache>
                  <c:formatCode>General</c:formatCode>
                  <c:ptCount val="3"/>
                  <c:pt idx="0">
                    <c:v>8.9195417929326484E-6</c:v>
                  </c:pt>
                  <c:pt idx="1">
                    <c:v>6.5033562085517818E-5</c:v>
                  </c:pt>
                  <c:pt idx="2">
                    <c:v>3.591836202454339E-6</c:v>
                  </c:pt>
                </c:numCache>
              </c:numRef>
            </c:plus>
            <c:minus>
              <c:numRef>
                <c:f>'Single pass'!$BV$210:$BV$212</c:f>
                <c:numCache>
                  <c:formatCode>General</c:formatCode>
                  <c:ptCount val="3"/>
                  <c:pt idx="0">
                    <c:v>8.9195417929326484E-6</c:v>
                  </c:pt>
                  <c:pt idx="1">
                    <c:v>6.5033562085517818E-5</c:v>
                  </c:pt>
                  <c:pt idx="2">
                    <c:v>3.591836202454339E-6</c:v>
                  </c:pt>
                </c:numCache>
              </c:numRef>
            </c:minus>
          </c:errBars>
          <c:val>
            <c:numRef>
              <c:f>'Single pass'!$AZ$210:$AZ$212</c:f>
              <c:numCache>
                <c:formatCode>General</c:formatCode>
                <c:ptCount val="3"/>
                <c:pt idx="0">
                  <c:v>7.9033421258014498E-3</c:v>
                </c:pt>
                <c:pt idx="1">
                  <c:v>7.9033421258014498E-3</c:v>
                </c:pt>
                <c:pt idx="2">
                  <c:v>7.9033421258014498E-3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9-4B87-AF6C-773C05313ABF}"/>
            </c:ext>
          </c:extLst>
        </c:ser>
        <c:ser>
          <c:idx val="2"/>
          <c:order val="2"/>
          <c:tx>
            <c:v>2</c:v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pass'!$BW$210:$BW$212</c:f>
                <c:numCache>
                  <c:formatCode>General</c:formatCode>
                  <c:ptCount val="3"/>
                  <c:pt idx="0">
                    <c:v>3.5200753164686205E-5</c:v>
                  </c:pt>
                  <c:pt idx="1">
                    <c:v>9.5518068104944592E-5</c:v>
                  </c:pt>
                  <c:pt idx="2">
                    <c:v>2.3710736825497888E-6</c:v>
                  </c:pt>
                </c:numCache>
              </c:numRef>
            </c:plus>
            <c:minus>
              <c:numRef>
                <c:f>'Single pass'!$BW$210:$BW$212</c:f>
                <c:numCache>
                  <c:formatCode>General</c:formatCode>
                  <c:ptCount val="3"/>
                  <c:pt idx="0">
                    <c:v>3.5200753164686205E-5</c:v>
                  </c:pt>
                  <c:pt idx="1">
                    <c:v>9.5518068104944592E-5</c:v>
                  </c:pt>
                  <c:pt idx="2">
                    <c:v>2.3710736825497888E-6</c:v>
                  </c:pt>
                </c:numCache>
              </c:numRef>
            </c:minus>
          </c:errBars>
          <c:val>
            <c:numRef>
              <c:f>'Single pass'!$BA$210:$BA$212</c:f>
              <c:numCache>
                <c:formatCode>General</c:formatCode>
                <c:ptCount val="3"/>
                <c:pt idx="0">
                  <c:v>1.58066842516029E-2</c:v>
                </c:pt>
                <c:pt idx="1">
                  <c:v>1.58066842516029E-2</c:v>
                </c:pt>
                <c:pt idx="2">
                  <c:v>1.58066842516029E-2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19-4B87-AF6C-773C05313ABF}"/>
            </c:ext>
          </c:extLst>
        </c:ser>
        <c:ser>
          <c:idx val="3"/>
          <c:order val="3"/>
          <c:tx>
            <c:v>3</c:v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pass'!$BX$210:$BX$212</c:f>
                <c:numCache>
                  <c:formatCode>General</c:formatCode>
                  <c:ptCount val="3"/>
                  <c:pt idx="0">
                    <c:v>3.5200753164686205E-5</c:v>
                  </c:pt>
                  <c:pt idx="1">
                    <c:v>1.557228944110145E-5</c:v>
                  </c:pt>
                  <c:pt idx="2">
                    <c:v>2.3710736825523909E-6</c:v>
                  </c:pt>
                </c:numCache>
              </c:numRef>
            </c:plus>
            <c:minus>
              <c:numRef>
                <c:f>'Single pass'!$BX$210:$BX$212</c:f>
                <c:numCache>
                  <c:formatCode>General</c:formatCode>
                  <c:ptCount val="3"/>
                  <c:pt idx="0">
                    <c:v>3.5200753164686205E-5</c:v>
                  </c:pt>
                  <c:pt idx="1">
                    <c:v>1.557228944110145E-5</c:v>
                  </c:pt>
                  <c:pt idx="2">
                    <c:v>2.3710736825523909E-6</c:v>
                  </c:pt>
                </c:numCache>
              </c:numRef>
            </c:minus>
          </c:errBars>
          <c:val>
            <c:numRef>
              <c:f>'Single pass'!$BC$210:$BC$212</c:f>
              <c:numCache>
                <c:formatCode>General</c:formatCode>
                <c:ptCount val="3"/>
                <c:pt idx="1">
                  <c:v>4.7420052754808692E-2</c:v>
                </c:pt>
                <c:pt idx="2">
                  <c:v>4.7420052754808692E-2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19-4B87-AF6C-773C05313ABF}"/>
            </c:ext>
          </c:extLst>
        </c:ser>
        <c:ser>
          <c:idx val="4"/>
          <c:order val="4"/>
          <c:tx>
            <c:v>5</c:v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pass'!$BY$210:$BY$212</c:f>
                <c:numCache>
                  <c:formatCode>General</c:formatCode>
                  <c:ptCount val="3"/>
                  <c:pt idx="1">
                    <c:v>8.3983023645747834E-5</c:v>
                  </c:pt>
                  <c:pt idx="2">
                    <c:v>5.7798121789361112E-5</c:v>
                  </c:pt>
                </c:numCache>
              </c:numRef>
            </c:plus>
            <c:minus>
              <c:numRef>
                <c:f>'Single pass'!$BY$210:$BY$212</c:f>
                <c:numCache>
                  <c:formatCode>General</c:formatCode>
                  <c:ptCount val="3"/>
                  <c:pt idx="1">
                    <c:v>8.3983023645747834E-5</c:v>
                  </c:pt>
                  <c:pt idx="2">
                    <c:v>5.7798121789361112E-5</c:v>
                  </c:pt>
                </c:numCache>
              </c:numRef>
            </c:minus>
          </c:errBars>
          <c:val>
            <c:numRef>
              <c:f>'Single pass'!$BD$210:$BD$212</c:f>
              <c:numCache>
                <c:formatCode>General</c:formatCode>
                <c:ptCount val="3"/>
                <c:pt idx="1">
                  <c:v>6.520257253786195E-2</c:v>
                </c:pt>
                <c:pt idx="2">
                  <c:v>6.520257253786195E-2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19-4B87-AF6C-773C05313ABF}"/>
            </c:ext>
          </c:extLst>
        </c:ser>
        <c:ser>
          <c:idx val="5"/>
          <c:order val="5"/>
          <c:tx>
            <c:v>7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pass'!$BZ$210:$BZ$212</c:f>
                <c:numCache>
                  <c:formatCode>General</c:formatCode>
                  <c:ptCount val="3"/>
                  <c:pt idx="1">
                    <c:v>1.4248896218246182E-4</c:v>
                  </c:pt>
                  <c:pt idx="2">
                    <c:v>9.7800250136469147E-5</c:v>
                  </c:pt>
                </c:numCache>
              </c:numRef>
            </c:plus>
            <c:minus>
              <c:numRef>
                <c:f>'Single pass'!$BZ$210:$BZ$212</c:f>
                <c:numCache>
                  <c:formatCode>General</c:formatCode>
                  <c:ptCount val="3"/>
                  <c:pt idx="1">
                    <c:v>1.4248896218246182E-4</c:v>
                  </c:pt>
                  <c:pt idx="2">
                    <c:v>9.7800250136469147E-5</c:v>
                  </c:pt>
                </c:numCache>
              </c:numRef>
            </c:minus>
          </c:errBars>
          <c:val>
            <c:numRef>
              <c:f>'Single pass'!$BD$210:$BD$212</c:f>
              <c:numCache>
                <c:formatCode>General</c:formatCode>
                <c:ptCount val="3"/>
                <c:pt idx="1">
                  <c:v>6.520257253786195E-2</c:v>
                </c:pt>
                <c:pt idx="2">
                  <c:v>6.520257253786195E-2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19-4B87-AF6C-773C05313ABF}"/>
            </c:ext>
          </c:extLst>
        </c:ser>
        <c:ser>
          <c:idx val="6"/>
          <c:order val="6"/>
          <c:tx>
            <c:v>10a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pass'!$CA$210:$CA$212</c:f>
                <c:numCache>
                  <c:formatCode>General</c:formatCode>
                  <c:ptCount val="3"/>
                  <c:pt idx="1">
                    <c:v>8.9378429947584853E-4</c:v>
                  </c:pt>
                  <c:pt idx="2">
                    <c:v>1.5623496760124381E-4</c:v>
                  </c:pt>
                </c:numCache>
              </c:numRef>
            </c:plus>
            <c:minus>
              <c:numRef>
                <c:f>'Single pass'!$CA$210:$CA$212</c:f>
                <c:numCache>
                  <c:formatCode>General</c:formatCode>
                  <c:ptCount val="3"/>
                  <c:pt idx="1">
                    <c:v>8.9378429947584853E-4</c:v>
                  </c:pt>
                  <c:pt idx="2">
                    <c:v>1.5623496760124381E-4</c:v>
                  </c:pt>
                </c:numCache>
              </c:numRef>
            </c:minus>
          </c:errBars>
          <c:val>
            <c:numRef>
              <c:f>'Single pass'!$BE$210:$BE$212</c:f>
              <c:numCache>
                <c:formatCode>General</c:formatCode>
                <c:ptCount val="3"/>
                <c:pt idx="1">
                  <c:v>0.10274344763541884</c:v>
                </c:pt>
                <c:pt idx="2">
                  <c:v>0.10274344763541884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19-4B87-AF6C-773C05313ABF}"/>
            </c:ext>
          </c:extLst>
        </c:ser>
        <c:ser>
          <c:idx val="8"/>
          <c:order val="7"/>
          <c:tx>
            <c:v>10b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pass'!$CA$210:$CA$212</c:f>
                <c:numCache>
                  <c:formatCode>General</c:formatCode>
                  <c:ptCount val="3"/>
                  <c:pt idx="1">
                    <c:v>8.9378429947584853E-4</c:v>
                  </c:pt>
                  <c:pt idx="2">
                    <c:v>1.5623496760124381E-4</c:v>
                  </c:pt>
                </c:numCache>
              </c:numRef>
            </c:plus>
            <c:minus>
              <c:numRef>
                <c:f>'Single pass'!$CA$210:$CA$212</c:f>
                <c:numCache>
                  <c:formatCode>General</c:formatCode>
                  <c:ptCount val="3"/>
                  <c:pt idx="1">
                    <c:v>8.9378429947584853E-4</c:v>
                  </c:pt>
                  <c:pt idx="2">
                    <c:v>1.5623496760124381E-4</c:v>
                  </c:pt>
                </c:numCache>
              </c:numRef>
            </c:minus>
          </c:errBars>
          <c:val>
            <c:numRef>
              <c:f>'Single pass'!$BE$210:$BE$212</c:f>
              <c:numCache>
                <c:formatCode>General</c:formatCode>
                <c:ptCount val="3"/>
                <c:pt idx="1">
                  <c:v>0.10274344763541884</c:v>
                </c:pt>
                <c:pt idx="2">
                  <c:v>0.10274344763541884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19-4B87-AF6C-773C05313ABF}"/>
            </c:ext>
          </c:extLst>
        </c:ser>
        <c:ser>
          <c:idx val="7"/>
          <c:order val="8"/>
          <c:tx>
            <c:v>15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pass'!$CB$210:$CB$212</c:f>
                <c:numCache>
                  <c:formatCode>General</c:formatCode>
                  <c:ptCount val="3"/>
                  <c:pt idx="2">
                    <c:v>1.995653109459726E-4</c:v>
                  </c:pt>
                </c:numCache>
              </c:numRef>
            </c:plus>
            <c:minus>
              <c:numRef>
                <c:f>'Single pass'!$CB$210:$CB$212</c:f>
                <c:numCache>
                  <c:formatCode>General</c:formatCode>
                  <c:ptCount val="3"/>
                  <c:pt idx="2">
                    <c:v>1.995653109459726E-4</c:v>
                  </c:pt>
                </c:numCache>
              </c:numRef>
            </c:minus>
          </c:errBars>
          <c:val>
            <c:numRef>
              <c:f>'Single pass'!$BF$210:$BF$212</c:f>
              <c:numCache>
                <c:formatCode>General</c:formatCode>
                <c:ptCount val="3"/>
                <c:pt idx="2">
                  <c:v>0.14423599379587645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19-4B87-AF6C-773C05313ABF}"/>
            </c:ext>
          </c:extLst>
        </c:ser>
        <c:ser>
          <c:idx val="9"/>
          <c:order val="9"/>
          <c:tx>
            <c:v>15, t+1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'Single pass'!$CB$210:$CB$212</c:f>
                <c:numCache>
                  <c:formatCode>General</c:formatCode>
                  <c:ptCount val="3"/>
                  <c:pt idx="2">
                    <c:v>1.995653109459726E-4</c:v>
                  </c:pt>
                </c:numCache>
              </c:numRef>
            </c:plus>
            <c:minus>
              <c:numRef>
                <c:f>'Single pass'!$CB$210:$CB$212</c:f>
                <c:numCache>
                  <c:formatCode>General</c:formatCode>
                  <c:ptCount val="3"/>
                  <c:pt idx="2">
                    <c:v>1.995653109459726E-4</c:v>
                  </c:pt>
                </c:numCache>
              </c:numRef>
            </c:minus>
          </c:errBars>
          <c:val>
            <c:numRef>
              <c:f>'Single pass'!$BF$210:$BF$212</c:f>
              <c:numCache>
                <c:formatCode>General</c:formatCode>
                <c:ptCount val="3"/>
                <c:pt idx="2">
                  <c:v>0.14423599379587645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19-4B87-AF6C-773C05313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12416"/>
        <c:axId val="129622784"/>
      </c:barChart>
      <c:catAx>
        <c:axId val="12961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0" i="0" baseline="0">
                    <a:effectLst/>
                  </a:rPr>
                  <a:t>[NH</a:t>
                </a:r>
                <a:r>
                  <a:rPr lang="en-US" sz="1000" b="0" i="0" baseline="-25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] (mol L</a:t>
                </a:r>
                <a:r>
                  <a:rPr lang="en-US" sz="1000" b="0" i="0" baseline="30000">
                    <a:effectLst/>
                  </a:rPr>
                  <a:t>-1</a:t>
                </a:r>
                <a:r>
                  <a:rPr lang="en-US" sz="1000" b="0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29622784"/>
        <c:crossesAt val="1.0000000000000003E-4"/>
        <c:auto val="1"/>
        <c:lblAlgn val="ctr"/>
        <c:lblOffset val="100"/>
        <c:noMultiLvlLbl val="0"/>
      </c:catAx>
      <c:valAx>
        <c:axId val="129622784"/>
        <c:scaling>
          <c:logBase val="10"/>
          <c:orientation val="minMax"/>
          <c:max val="1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baseline="0">
                    <a:effectLst/>
                  </a:rPr>
                  <a:t>Supersaturation ratio, C/C* (mol mol</a:t>
                </a:r>
                <a:r>
                  <a:rPr lang="en-GB" sz="1000" b="0" i="0" baseline="30000">
                    <a:effectLst/>
                  </a:rPr>
                  <a:t>-1</a:t>
                </a:r>
                <a:r>
                  <a:rPr lang="en-GB" sz="1000" b="0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612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504683086664222"/>
          <c:y val="0.15286750795049961"/>
          <c:w val="0.11476795285760986"/>
          <c:h val="0.52403130775193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08365873293248"/>
          <c:y val="3.1515672230929263E-2"/>
          <c:w val="0.61670655860483226"/>
          <c:h val="0.85484796276941744"/>
        </c:manualLayout>
      </c:layout>
      <c:barChart>
        <c:barDir val="col"/>
        <c:grouping val="clustered"/>
        <c:varyColors val="0"/>
        <c:ser>
          <c:idx val="0"/>
          <c:order val="0"/>
          <c:tx>
            <c:v>0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pass'!$BU$212:$BU$213</c:f>
                <c:numCache>
                  <c:formatCode>General</c:formatCode>
                  <c:ptCount val="2"/>
                  <c:pt idx="0">
                    <c:v>3.7380879922762364E-6</c:v>
                  </c:pt>
                </c:numCache>
              </c:numRef>
            </c:plus>
            <c:minus>
              <c:numRef>
                <c:f>'Single pass'!$BU$212:$BU$213</c:f>
                <c:numCache>
                  <c:formatCode>General</c:formatCode>
                  <c:ptCount val="2"/>
                  <c:pt idx="0">
                    <c:v>3.7380879922762364E-6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pass'!$AY$212:$AY$213</c:f>
              <c:numCache>
                <c:formatCode>General</c:formatCode>
                <c:ptCount val="2"/>
                <c:pt idx="0">
                  <c:v>1.9758355314503624E-4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2-462C-96F3-94BC48BC5FEA}"/>
            </c:ext>
          </c:extLst>
        </c:ser>
        <c:ser>
          <c:idx val="1"/>
          <c:order val="1"/>
          <c:tx>
            <c:v>1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pass'!$BV$212:$BV$213</c:f>
                <c:numCache>
                  <c:formatCode>General</c:formatCode>
                  <c:ptCount val="2"/>
                  <c:pt idx="0">
                    <c:v>3.591836202454339E-6</c:v>
                  </c:pt>
                </c:numCache>
              </c:numRef>
            </c:plus>
            <c:minus>
              <c:numRef>
                <c:f>'Single pass'!$BV$212:$BV$213</c:f>
                <c:numCache>
                  <c:formatCode>General</c:formatCode>
                  <c:ptCount val="2"/>
                  <c:pt idx="0">
                    <c:v>3.591836202454339E-6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pass'!$AZ$212:$AZ$213</c:f>
              <c:numCache>
                <c:formatCode>General</c:formatCode>
                <c:ptCount val="2"/>
                <c:pt idx="0">
                  <c:v>7.9033421258014498E-3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2-462C-96F3-94BC48BC5FEA}"/>
            </c:ext>
          </c:extLst>
        </c:ser>
        <c:ser>
          <c:idx val="2"/>
          <c:order val="2"/>
          <c:tx>
            <c:v>2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pass'!$BW$212:$BW$213</c:f>
                <c:numCache>
                  <c:formatCode>General</c:formatCode>
                  <c:ptCount val="2"/>
                  <c:pt idx="0">
                    <c:v>2.3710736825497888E-6</c:v>
                  </c:pt>
                </c:numCache>
              </c:numRef>
            </c:plus>
            <c:minus>
              <c:numRef>
                <c:f>'Single pass'!$BW$212:$BW$213</c:f>
                <c:numCache>
                  <c:formatCode>General</c:formatCode>
                  <c:ptCount val="2"/>
                  <c:pt idx="0">
                    <c:v>2.3710736825497888E-6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pass'!$BA$212:$BA$213</c:f>
              <c:numCache>
                <c:formatCode>General</c:formatCode>
                <c:ptCount val="2"/>
                <c:pt idx="0">
                  <c:v>1.58066842516029E-2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12-462C-96F3-94BC48BC5FEA}"/>
            </c:ext>
          </c:extLst>
        </c:ser>
        <c:ser>
          <c:idx val="3"/>
          <c:order val="3"/>
          <c:tx>
            <c:v>3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pass'!$BX$212:$BX$213</c:f>
                <c:numCache>
                  <c:formatCode>General</c:formatCode>
                  <c:ptCount val="2"/>
                  <c:pt idx="0">
                    <c:v>2.3710736825523909E-6</c:v>
                  </c:pt>
                </c:numCache>
              </c:numRef>
            </c:plus>
            <c:minus>
              <c:numRef>
                <c:f>'Single pass'!$BX$212:$BX$213</c:f>
                <c:numCache>
                  <c:formatCode>General</c:formatCode>
                  <c:ptCount val="2"/>
                  <c:pt idx="0">
                    <c:v>2.3710736825523909E-6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pass'!$BB$212:$BB$213</c:f>
              <c:numCache>
                <c:formatCode>General</c:formatCode>
                <c:ptCount val="2"/>
                <c:pt idx="0">
                  <c:v>3.1613368503205799E-2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12-462C-96F3-94BC48BC5FEA}"/>
            </c:ext>
          </c:extLst>
        </c:ser>
        <c:ser>
          <c:idx val="4"/>
          <c:order val="4"/>
          <c:tx>
            <c:v>5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pass'!$BY$212:$BY$213</c:f>
                <c:numCache>
                  <c:formatCode>General</c:formatCode>
                  <c:ptCount val="2"/>
                  <c:pt idx="0">
                    <c:v>5.7798121789361112E-5</c:v>
                  </c:pt>
                </c:numCache>
              </c:numRef>
            </c:plus>
            <c:minus>
              <c:numRef>
                <c:f>'Single pass'!$BY$212:$BY$213</c:f>
                <c:numCache>
                  <c:formatCode>General</c:formatCode>
                  <c:ptCount val="2"/>
                  <c:pt idx="0">
                    <c:v>5.7798121789361112E-5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pass'!$BC$212:$BC$213</c:f>
              <c:numCache>
                <c:formatCode>General</c:formatCode>
                <c:ptCount val="2"/>
                <c:pt idx="0">
                  <c:v>4.7420052754808692E-2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12-462C-96F3-94BC48BC5FEA}"/>
            </c:ext>
          </c:extLst>
        </c:ser>
        <c:ser>
          <c:idx val="5"/>
          <c:order val="5"/>
          <c:tx>
            <c:v>7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pass'!$BZ$212:$BZ$213</c:f>
                <c:numCache>
                  <c:formatCode>General</c:formatCode>
                  <c:ptCount val="2"/>
                  <c:pt idx="0">
                    <c:v>9.7800250136469147E-5</c:v>
                  </c:pt>
                </c:numCache>
              </c:numRef>
            </c:plus>
            <c:minus>
              <c:numRef>
                <c:f>'Single pass'!$BZ$212:$BZ$213</c:f>
                <c:numCache>
                  <c:formatCode>General</c:formatCode>
                  <c:ptCount val="2"/>
                  <c:pt idx="0">
                    <c:v>9.7800250136469147E-5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pass'!$BD$212:$BD$213</c:f>
              <c:numCache>
                <c:formatCode>General</c:formatCode>
                <c:ptCount val="2"/>
                <c:pt idx="0">
                  <c:v>6.520257253786195E-2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12-462C-96F3-94BC48BC5FEA}"/>
            </c:ext>
          </c:extLst>
        </c:ser>
        <c:ser>
          <c:idx val="6"/>
          <c:order val="6"/>
          <c:tx>
            <c:v>10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pass'!$CA$212:$CA$213</c:f>
                <c:numCache>
                  <c:formatCode>General</c:formatCode>
                  <c:ptCount val="2"/>
                  <c:pt idx="0">
                    <c:v>1.5623496760124381E-4</c:v>
                  </c:pt>
                </c:numCache>
              </c:numRef>
            </c:plus>
            <c:minus>
              <c:numRef>
                <c:f>'Single pass'!$CA$212:$CA$213</c:f>
                <c:numCache>
                  <c:formatCode>General</c:formatCode>
                  <c:ptCount val="2"/>
                  <c:pt idx="0">
                    <c:v>1.5623496760124381E-4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pass'!$BE$212:$BE$213</c:f>
              <c:numCache>
                <c:formatCode>General</c:formatCode>
                <c:ptCount val="2"/>
                <c:pt idx="0">
                  <c:v>0.10274344763541884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12-462C-96F3-94BC48BC5FEA}"/>
            </c:ext>
          </c:extLst>
        </c:ser>
        <c:ser>
          <c:idx val="7"/>
          <c:order val="7"/>
          <c:tx>
            <c:v>15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pass'!$CB$212:$CB$213</c:f>
                <c:numCache>
                  <c:formatCode>General</c:formatCode>
                  <c:ptCount val="2"/>
                  <c:pt idx="0">
                    <c:v>1.995653109459726E-4</c:v>
                  </c:pt>
                  <c:pt idx="1">
                    <c:v>7.616546038381927E-5</c:v>
                  </c:pt>
                </c:numCache>
              </c:numRef>
            </c:plus>
            <c:minus>
              <c:numRef>
                <c:f>'Single pass'!$CB$212:$CB$213</c:f>
                <c:numCache>
                  <c:formatCode>General</c:formatCode>
                  <c:ptCount val="2"/>
                  <c:pt idx="0">
                    <c:v>1.995653109459726E-4</c:v>
                  </c:pt>
                  <c:pt idx="1">
                    <c:v>7.616546038381927E-5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pass'!$BF$212:$BF$213</c:f>
              <c:numCache>
                <c:formatCode>General</c:formatCode>
                <c:ptCount val="2"/>
                <c:pt idx="0">
                  <c:v>0.14423599379587645</c:v>
                </c:pt>
                <c:pt idx="1">
                  <c:v>0.19629750634941764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12-462C-96F3-94BC48BC5FEA}"/>
            </c:ext>
          </c:extLst>
        </c:ser>
        <c:ser>
          <c:idx val="8"/>
          <c:order val="8"/>
          <c:tx>
            <c:v>26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pass'!$CC$212:$CC$213</c:f>
                <c:numCache>
                  <c:formatCode>General</c:formatCode>
                  <c:ptCount val="2"/>
                  <c:pt idx="1">
                    <c:v>1.3072447849888043E-2</c:v>
                  </c:pt>
                </c:numCache>
              </c:numRef>
            </c:plus>
            <c:minus>
              <c:numRef>
                <c:f>'Single pass'!$CC$212:$CC$213</c:f>
                <c:numCache>
                  <c:formatCode>General</c:formatCode>
                  <c:ptCount val="2"/>
                  <c:pt idx="1">
                    <c:v>1.3072447849888043E-2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pass'!$BG$212:$BG$213</c:f>
              <c:numCache>
                <c:formatCode>General</c:formatCode>
                <c:ptCount val="2"/>
                <c:pt idx="1">
                  <c:v>0.34470279019005212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12-462C-96F3-94BC48BC5FEA}"/>
            </c:ext>
          </c:extLst>
        </c:ser>
        <c:ser>
          <c:idx val="9"/>
          <c:order val="9"/>
          <c:tx>
            <c:v>36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pass'!$CD$212:$CD$213</c:f>
                <c:numCache>
                  <c:formatCode>General</c:formatCode>
                  <c:ptCount val="2"/>
                  <c:pt idx="1">
                    <c:v>2.1418167162242176E-2</c:v>
                  </c:pt>
                </c:numCache>
              </c:numRef>
            </c:plus>
            <c:minus>
              <c:numRef>
                <c:f>'Single pass'!$CD$212:$CD$213</c:f>
                <c:numCache>
                  <c:formatCode>General</c:formatCode>
                  <c:ptCount val="2"/>
                  <c:pt idx="1">
                    <c:v>2.1418167162242176E-2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pass'!$BH$212:$BH$213</c:f>
              <c:numCache>
                <c:formatCode>General</c:formatCode>
                <c:ptCount val="2"/>
                <c:pt idx="1">
                  <c:v>0.48891076414836093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12-462C-96F3-94BC48BC5FEA}"/>
            </c:ext>
          </c:extLst>
        </c:ser>
        <c:ser>
          <c:idx val="10"/>
          <c:order val="10"/>
          <c:tx>
            <c:v>47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pass'!$CE$212:$CE$213</c:f>
                <c:numCache>
                  <c:formatCode>General</c:formatCode>
                  <c:ptCount val="2"/>
                  <c:pt idx="1">
                    <c:v>2.1933519581832022E-2</c:v>
                  </c:pt>
                </c:numCache>
              </c:numRef>
            </c:plus>
            <c:minus>
              <c:numRef>
                <c:f>'Single pass'!$CE$212:$CE$213</c:f>
                <c:numCache>
                  <c:formatCode>General</c:formatCode>
                  <c:ptCount val="2"/>
                  <c:pt idx="1">
                    <c:v>2.1933519581832022E-2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pass'!$BI$212:$BI$213</c:f>
              <c:numCache>
                <c:formatCode>General</c:formatCode>
                <c:ptCount val="2"/>
                <c:pt idx="1">
                  <c:v>0.63221970552846474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12-462C-96F3-94BC48BC5FEA}"/>
            </c:ext>
          </c:extLst>
        </c:ser>
        <c:ser>
          <c:idx val="11"/>
          <c:order val="11"/>
          <c:tx>
            <c:v>57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pass'!$CF$212:$CF$213</c:f>
                <c:numCache>
                  <c:formatCode>General</c:formatCode>
                  <c:ptCount val="2"/>
                  <c:pt idx="1">
                    <c:v>1.5846925769724685E-4</c:v>
                  </c:pt>
                </c:numCache>
              </c:numRef>
            </c:plus>
            <c:minus>
              <c:numRef>
                <c:f>'Single pass'!$CF$212:$CF$213</c:f>
                <c:numCache>
                  <c:formatCode>General</c:formatCode>
                  <c:ptCount val="2"/>
                  <c:pt idx="1">
                    <c:v>1.5846925769724685E-4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pass'!$BJ$212:$BJ$213</c:f>
              <c:numCache>
                <c:formatCode>General</c:formatCode>
                <c:ptCount val="2"/>
                <c:pt idx="1">
                  <c:v>0.76034352276524442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12-462C-96F3-94BC48BC5FEA}"/>
            </c:ext>
          </c:extLst>
        </c:ser>
        <c:ser>
          <c:idx val="12"/>
          <c:order val="12"/>
          <c:tx>
            <c:v>66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pass'!$CG$212:$CG$213</c:f>
                <c:numCache>
                  <c:formatCode>General</c:formatCode>
                  <c:ptCount val="2"/>
                  <c:pt idx="1">
                    <c:v>9.6097015764323723E-4</c:v>
                  </c:pt>
                </c:numCache>
              </c:numRef>
            </c:plus>
            <c:minus>
              <c:numRef>
                <c:f>'Single pass'!$CG$212:$CG$213</c:f>
                <c:numCache>
                  <c:formatCode>General</c:formatCode>
                  <c:ptCount val="2"/>
                  <c:pt idx="1">
                    <c:v>9.6097015764323723E-4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pass'!$BK$212:$BK$213</c:f>
              <c:numCache>
                <c:formatCode>General</c:formatCode>
                <c:ptCount val="2"/>
                <c:pt idx="1">
                  <c:v>0.88342665174870938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12-462C-96F3-94BC48BC5FEA}"/>
            </c:ext>
          </c:extLst>
        </c:ser>
        <c:ser>
          <c:idx val="13"/>
          <c:order val="13"/>
          <c:tx>
            <c:v>75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pass'!$CH$212:$CH$213</c:f>
                <c:numCache>
                  <c:formatCode>General</c:formatCode>
                  <c:ptCount val="2"/>
                  <c:pt idx="1">
                    <c:v>1.8404617137492973E-3</c:v>
                  </c:pt>
                </c:numCache>
              </c:numRef>
            </c:plus>
            <c:minus>
              <c:numRef>
                <c:f>'Single pass'!$CH$212:$CH$213</c:f>
                <c:numCache>
                  <c:formatCode>General</c:formatCode>
                  <c:ptCount val="2"/>
                  <c:pt idx="1">
                    <c:v>1.8404617137492973E-3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pass'!$BL$212:$BL$213</c:f>
              <c:numCache>
                <c:formatCode>General</c:formatCode>
                <c:ptCount val="2"/>
                <c:pt idx="1">
                  <c:v>1.0104309037055885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12-462C-96F3-94BC48BC5FEA}"/>
            </c:ext>
          </c:extLst>
        </c:ser>
        <c:ser>
          <c:idx val="14"/>
          <c:order val="14"/>
          <c:tx>
            <c:v>84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pass'!$CI$212:$CI$213</c:f>
                <c:numCache>
                  <c:formatCode>General</c:formatCode>
                  <c:ptCount val="2"/>
                  <c:pt idx="1">
                    <c:v>7.2077061172981516E-4</c:v>
                  </c:pt>
                </c:numCache>
              </c:numRef>
            </c:plus>
            <c:minus>
              <c:numRef>
                <c:f>'Single pass'!$CI$212:$CI$213</c:f>
                <c:numCache>
                  <c:formatCode>General</c:formatCode>
                  <c:ptCount val="2"/>
                  <c:pt idx="1">
                    <c:v>7.2077061172981516E-4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pass'!$BM$212:$BM$213</c:f>
              <c:numCache>
                <c:formatCode>General</c:formatCode>
                <c:ptCount val="2"/>
                <c:pt idx="1">
                  <c:v>1.1351922470417362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12-462C-96F3-94BC48BC5FEA}"/>
            </c:ext>
          </c:extLst>
        </c:ser>
        <c:ser>
          <c:idx val="15"/>
          <c:order val="15"/>
          <c:tx>
            <c:v>94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pass'!$CJ$212:$CJ$213</c:f>
                <c:numCache>
                  <c:formatCode>General</c:formatCode>
                  <c:ptCount val="2"/>
                  <c:pt idx="1">
                    <c:v>6.3217459615139138E-3</c:v>
                  </c:pt>
                </c:numCache>
              </c:numRef>
            </c:plus>
            <c:minus>
              <c:numRef>
                <c:f>'Single pass'!$CJ$212:$CJ$213</c:f>
                <c:numCache>
                  <c:formatCode>General</c:formatCode>
                  <c:ptCount val="2"/>
                  <c:pt idx="1">
                    <c:v>6.3217459615139138E-3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pass'!$BN$212:$BN$213</c:f>
              <c:numCache>
                <c:formatCode>General</c:formatCode>
                <c:ptCount val="2"/>
                <c:pt idx="1">
                  <c:v>1.2633130445466436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12-462C-96F3-94BC48BC5FEA}"/>
            </c:ext>
          </c:extLst>
        </c:ser>
        <c:ser>
          <c:idx val="16"/>
          <c:order val="16"/>
          <c:tx>
            <c:v>104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pass'!$CK$212:$CK$213</c:f>
                <c:numCache>
                  <c:formatCode>General</c:formatCode>
                  <c:ptCount val="2"/>
                  <c:pt idx="1">
                    <c:v>7.2454718775483151E-4</c:v>
                  </c:pt>
                </c:numCache>
              </c:numRef>
            </c:plus>
            <c:minus>
              <c:numRef>
                <c:f>'Single pass'!$CK$212:$CK$213</c:f>
                <c:numCache>
                  <c:formatCode>General</c:formatCode>
                  <c:ptCount val="2"/>
                  <c:pt idx="1">
                    <c:v>7.2454718775483151E-4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pass'!$BO$212:$BO$213</c:f>
              <c:numCache>
                <c:formatCode>General</c:formatCode>
                <c:ptCount val="2"/>
                <c:pt idx="1">
                  <c:v>1.3982836068725641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12-462C-96F3-94BC48BC5FEA}"/>
            </c:ext>
          </c:extLst>
        </c:ser>
        <c:ser>
          <c:idx val="17"/>
          <c:order val="17"/>
          <c:tx>
            <c:v>113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pass'!$CL$212:$CL$213</c:f>
                <c:numCache>
                  <c:formatCode>General</c:formatCode>
                  <c:ptCount val="2"/>
                  <c:pt idx="1">
                    <c:v>4.0828657731908358E-3</c:v>
                  </c:pt>
                </c:numCache>
              </c:numRef>
            </c:plus>
            <c:minus>
              <c:numRef>
                <c:f>'Single pass'!$CL$212:$CL$213</c:f>
                <c:numCache>
                  <c:formatCode>General</c:formatCode>
                  <c:ptCount val="2"/>
                  <c:pt idx="1">
                    <c:v>4.0828657731908358E-3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pass'!$BP$212:$BP$213</c:f>
              <c:numCache>
                <c:formatCode>General</c:formatCode>
                <c:ptCount val="2"/>
                <c:pt idx="1">
                  <c:v>1.5236426640384246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B12-462C-96F3-94BC48BC5FEA}"/>
            </c:ext>
          </c:extLst>
        </c:ser>
        <c:ser>
          <c:idx val="18"/>
          <c:order val="18"/>
          <c:tx>
            <c:v>120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pass'!$CM$212:$CM$213</c:f>
                <c:numCache>
                  <c:formatCode>General</c:formatCode>
                  <c:ptCount val="2"/>
                  <c:pt idx="1">
                    <c:v>0</c:v>
                  </c:pt>
                </c:numCache>
              </c:numRef>
            </c:plus>
            <c:minus>
              <c:numRef>
                <c:f>'Single pass'!$CM$212:$CM$213</c:f>
                <c:numCache>
                  <c:formatCode>General</c:formatCode>
                  <c:ptCount val="2"/>
                  <c:pt idx="1">
                    <c:v>0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pass'!$BQ$212:$BQ$213</c:f>
              <c:numCache>
                <c:formatCode>General</c:formatCode>
                <c:ptCount val="2"/>
                <c:pt idx="1">
                  <c:v>1.6103025174331871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B12-462C-96F3-94BC48BC5FEA}"/>
            </c:ext>
          </c:extLst>
        </c:ser>
        <c:ser>
          <c:idx val="19"/>
          <c:order val="19"/>
          <c:tx>
            <c:v>126</c:v>
          </c:tx>
          <c:invertIfNegative val="0"/>
          <c:errBars>
            <c:errBarType val="both"/>
            <c:errValType val="cust"/>
            <c:noEndCap val="0"/>
            <c:plus>
              <c:numRef>
                <c:f>'Single pass'!$CN$212:$CN$213</c:f>
                <c:numCache>
                  <c:formatCode>General</c:formatCode>
                  <c:ptCount val="2"/>
                  <c:pt idx="1">
                    <c:v>1.2000815869225192E-2</c:v>
                  </c:pt>
                </c:numCache>
              </c:numRef>
            </c:plus>
            <c:minus>
              <c:numRef>
                <c:f>'Single pass'!$CN$212:$CN$213</c:f>
                <c:numCache>
                  <c:formatCode>General</c:formatCode>
                  <c:ptCount val="2"/>
                  <c:pt idx="1">
                    <c:v>1.2000815869225192E-2</c:v>
                  </c:pt>
                </c:numCache>
              </c:numRef>
            </c:minus>
          </c:errBars>
          <c:cat>
            <c:numRef>
              <c:f>'Single pass'!$AX$212:$AX$213</c:f>
              <c:numCache>
                <c:formatCode>0.0</c:formatCode>
                <c:ptCount val="2"/>
                <c:pt idx="0">
                  <c:v>3</c:v>
                </c:pt>
                <c:pt idx="1">
                  <c:v>3.3</c:v>
                </c:pt>
              </c:numCache>
            </c:numRef>
          </c:cat>
          <c:val>
            <c:numRef>
              <c:f>'Single pass'!$BR$212:$BR$213</c:f>
              <c:numCache>
                <c:formatCode>General</c:formatCode>
                <c:ptCount val="2"/>
                <c:pt idx="1">
                  <c:v>1.69696237082795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B12-462C-96F3-94BC48BC5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138496"/>
        <c:axId val="130140416"/>
      </c:barChart>
      <c:catAx>
        <c:axId val="13013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0" i="0" baseline="0">
                    <a:effectLst/>
                  </a:rPr>
                  <a:t>[NH</a:t>
                </a:r>
                <a:r>
                  <a:rPr lang="en-US" sz="1000" b="0" i="0" baseline="-25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] (mol L</a:t>
                </a:r>
                <a:r>
                  <a:rPr lang="en-US" sz="1000" b="0" i="0" baseline="30000">
                    <a:effectLst/>
                  </a:rPr>
                  <a:t>-1</a:t>
                </a:r>
                <a:r>
                  <a:rPr lang="en-US" sz="1000" b="0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0140416"/>
        <c:crossesAt val="1.0000000000000003E-4"/>
        <c:auto val="1"/>
        <c:lblAlgn val="ctr"/>
        <c:lblOffset val="100"/>
        <c:noMultiLvlLbl val="0"/>
      </c:catAx>
      <c:valAx>
        <c:axId val="130140416"/>
        <c:scaling>
          <c:logBase val="10"/>
          <c:orientation val="minMax"/>
          <c:max val="1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baseline="0">
                    <a:effectLst/>
                  </a:rPr>
                  <a:t>Supersaturation, C/C* (mol mol</a:t>
                </a:r>
                <a:r>
                  <a:rPr lang="en-GB" sz="1000" b="0" i="0" baseline="30000">
                    <a:effectLst/>
                  </a:rPr>
                  <a:t>-1</a:t>
                </a:r>
                <a:r>
                  <a:rPr lang="en-GB" sz="1000" b="0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0138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402515494125627"/>
          <c:y val="0.15576522990021519"/>
          <c:w val="0.11038806688443514"/>
          <c:h val="0.6937886843801603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[CO2 (t)]/2.32</a:t>
            </a:r>
            <a:r>
              <a:rPr lang="en-US" sz="1000" baseline="0"/>
              <a:t> =M/M; Ql=4.55ml/min; Qg=60ml/min; vol liq=100ml; NH3  2.3M</a:t>
            </a:r>
            <a:endParaRPr lang="en-US" sz="100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v>Zeus PTFE</c:v>
          </c:tx>
          <c:spPr>
            <a:ln w="28575">
              <a:noFill/>
            </a:ln>
          </c:spPr>
          <c:xVal>
            <c:numRef>
              <c:f>Sheet1!$AE$73:$AE$83</c:f>
              <c:numCache>
                <c:formatCode>General</c:formatCode>
                <c:ptCount val="11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200</c:v>
                </c:pt>
                <c:pt idx="7">
                  <c:v>1150</c:v>
                </c:pt>
                <c:pt idx="8">
                  <c:v>1440</c:v>
                </c:pt>
                <c:pt idx="9">
                  <c:v>2860</c:v>
                </c:pt>
                <c:pt idx="10">
                  <c:v>3050</c:v>
                </c:pt>
              </c:numCache>
            </c:numRef>
          </c:xVal>
          <c:yVal>
            <c:numRef>
              <c:f>Sheet1!$AH$73:$AH$83</c:f>
              <c:numCache>
                <c:formatCode>General</c:formatCode>
                <c:ptCount val="11"/>
                <c:pt idx="0">
                  <c:v>3.7432126033237864E-3</c:v>
                </c:pt>
                <c:pt idx="1">
                  <c:v>3.5159493296278453E-2</c:v>
                </c:pt>
                <c:pt idx="2">
                  <c:v>6.6400437318732575E-2</c:v>
                </c:pt>
                <c:pt idx="3">
                  <c:v>0.11766667091542354</c:v>
                </c:pt>
                <c:pt idx="4">
                  <c:v>0.17340628401434188</c:v>
                </c:pt>
                <c:pt idx="5">
                  <c:v>0.21650781607432085</c:v>
                </c:pt>
                <c:pt idx="6">
                  <c:v>0.30638276362098815</c:v>
                </c:pt>
                <c:pt idx="7">
                  <c:v>0.78153501954997451</c:v>
                </c:pt>
                <c:pt idx="8">
                  <c:v>0.91189476734107189</c:v>
                </c:pt>
                <c:pt idx="9">
                  <c:v>1.1327514243710228</c:v>
                </c:pt>
                <c:pt idx="10">
                  <c:v>1.1646611436168961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F5-4FBE-8637-0EAFDE7D7912}"/>
            </c:ext>
          </c:extLst>
        </c:ser>
        <c:ser>
          <c:idx val="0"/>
          <c:order val="1"/>
          <c:tx>
            <c:v>Accurel PP 300/1200</c:v>
          </c:tx>
          <c:spPr>
            <a:ln w="28575">
              <a:noFill/>
            </a:ln>
          </c:spPr>
          <c:xVal>
            <c:numRef>
              <c:f>Sheet1!$AO$73:$AO$79</c:f>
              <c:numCache>
                <c:formatCode>General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300</c:v>
                </c:pt>
              </c:numCache>
            </c:numRef>
          </c:xVal>
          <c:yVal>
            <c:numRef>
              <c:f>Sheet1!$AR$73:$AR$79</c:f>
              <c:numCache>
                <c:formatCode>General</c:formatCode>
                <c:ptCount val="7"/>
                <c:pt idx="0">
                  <c:v>3.1765308778084239E-3</c:v>
                </c:pt>
                <c:pt idx="1">
                  <c:v>2.8715301104803543E-2</c:v>
                </c:pt>
                <c:pt idx="2">
                  <c:v>5.5837639128924484E-2</c:v>
                </c:pt>
                <c:pt idx="3">
                  <c:v>0.10082952674958313</c:v>
                </c:pt>
                <c:pt idx="4">
                  <c:v>0.15615023222244981</c:v>
                </c:pt>
                <c:pt idx="5">
                  <c:v>0.20082372270159801</c:v>
                </c:pt>
                <c:pt idx="6">
                  <c:v>0.35489918331450382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F5-4FBE-8637-0EAFDE7D7912}"/>
            </c:ext>
          </c:extLst>
        </c:ser>
        <c:ser>
          <c:idx val="1"/>
          <c:order val="2"/>
          <c:tx>
            <c:v>Saturation line</c:v>
          </c:tx>
          <c:spPr>
            <a:ln w="28575">
              <a:noFill/>
            </a:ln>
          </c:spPr>
          <c:marker>
            <c:symbol val="square"/>
            <c:size val="2"/>
          </c:marker>
          <c:xVal>
            <c:numRef>
              <c:f>Sheet1!$Z$153:$Z$188</c:f>
              <c:numCache>
                <c:formatCode>General</c:formatCode>
                <c:ptCount val="36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</c:numCache>
            </c:numRef>
          </c:xVal>
          <c:yVal>
            <c:numRef>
              <c:f>Sheet1!$AA$153:$AA$188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7F5-4FBE-8637-0EAFDE7D7912}"/>
            </c:ext>
          </c:extLst>
        </c:ser>
        <c:ser>
          <c:idx val="2"/>
          <c:order val="3"/>
          <c:tx>
            <c:v>Zeus PTFE 8/2/2016</c:v>
          </c:tx>
          <c:spPr>
            <a:ln w="28575">
              <a:noFill/>
            </a:ln>
          </c:spPr>
          <c:xVal>
            <c:numRef>
              <c:f>Sheet1!$AY$73:$AY$79</c:f>
              <c:numCache>
                <c:formatCode>General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60</c:v>
                </c:pt>
                <c:pt idx="5">
                  <c:v>90</c:v>
                </c:pt>
                <c:pt idx="6">
                  <c:v>120</c:v>
                </c:pt>
              </c:numCache>
            </c:numRef>
          </c:xVal>
          <c:yVal>
            <c:numRef>
              <c:f>Sheet1!$BB$73:$BB$79</c:f>
              <c:numCache>
                <c:formatCode>General</c:formatCode>
                <c:ptCount val="7"/>
                <c:pt idx="0">
                  <c:v>3.5309571158114593E-3</c:v>
                </c:pt>
                <c:pt idx="1">
                  <c:v>3.49507315003336E-2</c:v>
                </c:pt>
                <c:pt idx="2">
                  <c:v>6.6577764500317119E-2</c:v>
                </c:pt>
                <c:pt idx="3">
                  <c:v>0.11881544860155697</c:v>
                </c:pt>
                <c:pt idx="4">
                  <c:v>0.1599764556783119</c:v>
                </c:pt>
                <c:pt idx="5">
                  <c:v>0.21038178516049466</c:v>
                </c:pt>
                <c:pt idx="6">
                  <c:v>0.2498308137875957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F5-4FBE-8637-0EAFDE7D7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65440"/>
        <c:axId val="113167360"/>
      </c:scatterChart>
      <c:valAx>
        <c:axId val="113165440"/>
        <c:scaling>
          <c:orientation val="minMax"/>
          <c:max val="350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US" sz="1500"/>
                  <a:t>time measurement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167360"/>
        <c:crosses val="autoZero"/>
        <c:crossBetween val="midCat"/>
      </c:valAx>
      <c:valAx>
        <c:axId val="113167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Ssol/S*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16544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Qg=60ml/min; VOL liq=100ml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77E-2"/>
          <c:y val="0.10702295599707133"/>
          <c:w val="0.78813719181362629"/>
          <c:h val="0.71952231368613961"/>
        </c:manualLayout>
      </c:layout>
      <c:scatterChart>
        <c:scatterStyle val="lineMarker"/>
        <c:varyColors val="0"/>
        <c:ser>
          <c:idx val="6"/>
          <c:order val="0"/>
          <c:tx>
            <c:v>NH3 2.3M PTFE 27/01/2016</c:v>
          </c:tx>
          <c:spPr>
            <a:ln w="28575">
              <a:noFill/>
            </a:ln>
          </c:spPr>
          <c:xVal>
            <c:numRef>
              <c:f>Sheet1!$CI$48:$CI$58</c:f>
              <c:numCache>
                <c:formatCode>General</c:formatCode>
                <c:ptCount val="11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3.3333333333333335</c:v>
                </c:pt>
                <c:pt idx="7">
                  <c:v>19.166666666666668</c:v>
                </c:pt>
                <c:pt idx="8">
                  <c:v>24</c:v>
                </c:pt>
                <c:pt idx="9">
                  <c:v>47.666666666666664</c:v>
                </c:pt>
                <c:pt idx="10">
                  <c:v>50.833333333333336</c:v>
                </c:pt>
              </c:numCache>
            </c:numRef>
          </c:xVal>
          <c:yVal>
            <c:numRef>
              <c:f>Sheet1!$CM$35:$CM$45</c:f>
              <c:numCache>
                <c:formatCode>General</c:formatCode>
                <c:ptCount val="11"/>
                <c:pt idx="0">
                  <c:v>10.019906818635263</c:v>
                </c:pt>
                <c:pt idx="1">
                  <c:v>9.3439702585355473</c:v>
                </c:pt>
                <c:pt idx="2">
                  <c:v>8.3626387599046446</c:v>
                </c:pt>
                <c:pt idx="3">
                  <c:v>6.8615242843153945</c:v>
                </c:pt>
                <c:pt idx="4">
                  <c:v>4.9734972650855935</c:v>
                </c:pt>
                <c:pt idx="5">
                  <c:v>3.8458349440079695</c:v>
                </c:pt>
                <c:pt idx="6">
                  <c:v>2.4057906808384475</c:v>
                </c:pt>
                <c:pt idx="7">
                  <c:v>1.3388390735035474</c:v>
                </c:pt>
                <c:pt idx="8">
                  <c:v>1.2032744690536277</c:v>
                </c:pt>
                <c:pt idx="9">
                  <c:v>0.41633348146643812</c:v>
                </c:pt>
                <c:pt idx="10">
                  <c:v>0.44956093986522588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B9-4AC3-A68E-E7316A5BB1A3}"/>
            </c:ext>
          </c:extLst>
        </c:ser>
        <c:ser>
          <c:idx val="7"/>
          <c:order val="1"/>
          <c:tx>
            <c:v>NH3 2.3M PTFE 8/2/2016</c:v>
          </c:tx>
          <c:spPr>
            <a:ln w="28575">
              <a:noFill/>
            </a:ln>
          </c:spPr>
          <c:marker>
            <c:symbol val="square"/>
            <c:size val="7"/>
          </c:marker>
          <c:xVal>
            <c:numRef>
              <c:f>Sheet1!$CX$49:$CX$57</c:f>
              <c:numCache>
                <c:formatCode>General</c:formatCode>
                <c:ptCount val="9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6</c:v>
                </c:pt>
                <c:pt idx="8">
                  <c:v>10</c:v>
                </c:pt>
              </c:numCache>
            </c:numRef>
          </c:xVal>
          <c:yVal>
            <c:numRef>
              <c:f>Sheet1!$DB$36:$DB$44</c:f>
              <c:numCache>
                <c:formatCode>General</c:formatCode>
                <c:ptCount val="9"/>
                <c:pt idx="0">
                  <c:v>9.4517370585930358</c:v>
                </c:pt>
                <c:pt idx="1">
                  <c:v>9.3450093678565391</c:v>
                </c:pt>
                <c:pt idx="2">
                  <c:v>8.4659878343096526</c:v>
                </c:pt>
                <c:pt idx="3">
                  <c:v>6.9915441972352887</c:v>
                </c:pt>
                <c:pt idx="4">
                  <c:v>5.5090305998656648</c:v>
                </c:pt>
                <c:pt idx="5">
                  <c:v>4.4975333409739626</c:v>
                </c:pt>
                <c:pt idx="6">
                  <c:v>3.5199317878110232</c:v>
                </c:pt>
                <c:pt idx="7">
                  <c:v>1.6112445050185478</c:v>
                </c:pt>
                <c:pt idx="8">
                  <c:v>1.2242124520371283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B9-4AC3-A68E-E7316A5BB1A3}"/>
            </c:ext>
          </c:extLst>
        </c:ser>
        <c:ser>
          <c:idx val="0"/>
          <c:order val="2"/>
          <c:tx>
            <c:v>NH3 2.3M PTFE 9/2/2016</c:v>
          </c:tx>
          <c:spPr>
            <a:ln w="28575">
              <a:noFill/>
            </a:ln>
          </c:spPr>
          <c:xVal>
            <c:numRef>
              <c:f>Sheet1!$DE$52:$DE$66</c:f>
              <c:numCache>
                <c:formatCode>General</c:formatCode>
                <c:ptCount val="15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13</c:v>
                </c:pt>
                <c:pt idx="7">
                  <c:v>17</c:v>
                </c:pt>
                <c:pt idx="8">
                  <c:v>21</c:v>
                </c:pt>
                <c:pt idx="9">
                  <c:v>25</c:v>
                </c:pt>
                <c:pt idx="10">
                  <c:v>37</c:v>
                </c:pt>
                <c:pt idx="11">
                  <c:v>41</c:v>
                </c:pt>
                <c:pt idx="12">
                  <c:v>45</c:v>
                </c:pt>
                <c:pt idx="13">
                  <c:v>49</c:v>
                </c:pt>
                <c:pt idx="14">
                  <c:v>60</c:v>
                </c:pt>
              </c:numCache>
            </c:numRef>
          </c:xVal>
          <c:yVal>
            <c:numRef>
              <c:f>Sheet1!$DI$36:$DI$50</c:f>
              <c:numCache>
                <c:formatCode>General</c:formatCode>
                <c:ptCount val="15"/>
                <c:pt idx="0">
                  <c:v>9.8548849516734052</c:v>
                </c:pt>
                <c:pt idx="1">
                  <c:v>9.3267143549784599</c:v>
                </c:pt>
                <c:pt idx="2">
                  <c:v>8.3982311186402594</c:v>
                </c:pt>
                <c:pt idx="3">
                  <c:v>6.6374803119554535</c:v>
                </c:pt>
                <c:pt idx="4">
                  <c:v>5.8843010711089789</c:v>
                </c:pt>
                <c:pt idx="5">
                  <c:v>4.5681060400271587</c:v>
                </c:pt>
                <c:pt idx="6">
                  <c:v>1.2360453302671</c:v>
                </c:pt>
                <c:pt idx="7">
                  <c:v>0.86052596289228989</c:v>
                </c:pt>
                <c:pt idx="8">
                  <c:v>0.88035565101732471</c:v>
                </c:pt>
                <c:pt idx="9">
                  <c:v>0.77185012195996328</c:v>
                </c:pt>
                <c:pt idx="10">
                  <c:v>0.78092447990689473</c:v>
                </c:pt>
                <c:pt idx="11">
                  <c:v>0.69904292371694121</c:v>
                </c:pt>
                <c:pt idx="12">
                  <c:v>0.51535776949735668</c:v>
                </c:pt>
                <c:pt idx="13">
                  <c:v>0.55228682663773765</c:v>
                </c:pt>
                <c:pt idx="14">
                  <c:v>9.3147197136546331E-2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B9-4AC3-A68E-E7316A5BB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02304"/>
        <c:axId val="113204224"/>
      </c:scatterChart>
      <c:valAx>
        <c:axId val="11320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 baseline="0"/>
                  <a:t>time (hours)</a:t>
                </a:r>
                <a:endParaRPr lang="en-GB" sz="15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204224"/>
        <c:crosses val="autoZero"/>
        <c:crossBetween val="midCat"/>
      </c:valAx>
      <c:valAx>
        <c:axId val="113204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JCO2 (*10^3molCO2/m2*s)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202304"/>
        <c:crosses val="autoZero"/>
        <c:crossBetween val="midCat"/>
        <c:majorUnit val="2"/>
        <c:minorUnit val="4.0000000000000015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[CO2 (t)]/2.32</a:t>
            </a:r>
            <a:r>
              <a:rPr lang="en-US" sz="1000" baseline="0"/>
              <a:t> =M/M; Ql=4.55ml/min; Qg=60ml/min; vol liq=100ml; NH3  2.3M</a:t>
            </a:r>
            <a:endParaRPr lang="en-US" sz="100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Saturation line</c:v>
          </c:tx>
          <c:spPr>
            <a:ln w="28575">
              <a:noFill/>
            </a:ln>
          </c:spPr>
          <c:marker>
            <c:symbol val="square"/>
            <c:size val="2"/>
          </c:marker>
          <c:xVal>
            <c:numRef>
              <c:f>Sheet1!$Y$153:$Y$195</c:f>
              <c:numCache>
                <c:formatCode>General</c:formatCode>
                <c:ptCount val="43"/>
                <c:pt idx="0">
                  <c:v>0</c:v>
                </c:pt>
                <c:pt idx="1">
                  <c:v>1.6666666666666667</c:v>
                </c:pt>
                <c:pt idx="2">
                  <c:v>3.3333333333333335</c:v>
                </c:pt>
                <c:pt idx="3">
                  <c:v>5</c:v>
                </c:pt>
                <c:pt idx="4">
                  <c:v>6.666666666666667</c:v>
                </c:pt>
                <c:pt idx="5">
                  <c:v>8.3333333333333339</c:v>
                </c:pt>
                <c:pt idx="6">
                  <c:v>10</c:v>
                </c:pt>
                <c:pt idx="7">
                  <c:v>11.666666666666666</c:v>
                </c:pt>
                <c:pt idx="8">
                  <c:v>13.333333333333334</c:v>
                </c:pt>
                <c:pt idx="9">
                  <c:v>15</c:v>
                </c:pt>
                <c:pt idx="10">
                  <c:v>16.666666666666668</c:v>
                </c:pt>
                <c:pt idx="11">
                  <c:v>18.333333333333332</c:v>
                </c:pt>
                <c:pt idx="12">
                  <c:v>20</c:v>
                </c:pt>
                <c:pt idx="13">
                  <c:v>21.666666666666668</c:v>
                </c:pt>
                <c:pt idx="14">
                  <c:v>23.333333333333332</c:v>
                </c:pt>
                <c:pt idx="15">
                  <c:v>25</c:v>
                </c:pt>
                <c:pt idx="16">
                  <c:v>26.666666666666668</c:v>
                </c:pt>
                <c:pt idx="17">
                  <c:v>28.333333333333332</c:v>
                </c:pt>
                <c:pt idx="18">
                  <c:v>30</c:v>
                </c:pt>
                <c:pt idx="19">
                  <c:v>31.666666666666668</c:v>
                </c:pt>
                <c:pt idx="20">
                  <c:v>33.333333333333336</c:v>
                </c:pt>
                <c:pt idx="21">
                  <c:v>35</c:v>
                </c:pt>
                <c:pt idx="22">
                  <c:v>36.666666666666664</c:v>
                </c:pt>
                <c:pt idx="23">
                  <c:v>38.333333333333336</c:v>
                </c:pt>
                <c:pt idx="24">
                  <c:v>40</c:v>
                </c:pt>
                <c:pt idx="25">
                  <c:v>41.666666666666664</c:v>
                </c:pt>
                <c:pt idx="26">
                  <c:v>43.333333333333336</c:v>
                </c:pt>
                <c:pt idx="27">
                  <c:v>45</c:v>
                </c:pt>
                <c:pt idx="28">
                  <c:v>46.666666666666664</c:v>
                </c:pt>
                <c:pt idx="29">
                  <c:v>48.333333333333336</c:v>
                </c:pt>
                <c:pt idx="30">
                  <c:v>50</c:v>
                </c:pt>
                <c:pt idx="31">
                  <c:v>51.666666666666664</c:v>
                </c:pt>
                <c:pt idx="32">
                  <c:v>53.333333333333336</c:v>
                </c:pt>
                <c:pt idx="33">
                  <c:v>55</c:v>
                </c:pt>
                <c:pt idx="34">
                  <c:v>56.666666666666664</c:v>
                </c:pt>
                <c:pt idx="35">
                  <c:v>58.333333333333336</c:v>
                </c:pt>
                <c:pt idx="36">
                  <c:v>60</c:v>
                </c:pt>
                <c:pt idx="37">
                  <c:v>61.666666666666664</c:v>
                </c:pt>
                <c:pt idx="38">
                  <c:v>63.333333333333336</c:v>
                </c:pt>
                <c:pt idx="39">
                  <c:v>65</c:v>
                </c:pt>
                <c:pt idx="40">
                  <c:v>66.666666666666671</c:v>
                </c:pt>
              </c:numCache>
            </c:numRef>
          </c:xVal>
          <c:yVal>
            <c:numRef>
              <c:f>Sheet1!$AA$153:$AA$188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F3-4005-AE6C-788BF05E94CD}"/>
            </c:ext>
          </c:extLst>
        </c:ser>
        <c:ser>
          <c:idx val="4"/>
          <c:order val="1"/>
          <c:tx>
            <c:v>Zeus PTFE 27/1/2016</c:v>
          </c:tx>
          <c:spPr>
            <a:ln w="28575">
              <a:noFill/>
            </a:ln>
          </c:spPr>
          <c:xVal>
            <c:numRef>
              <c:f>Sheet1!$AD$73:$AD$83</c:f>
              <c:numCache>
                <c:formatCode>General</c:formatCode>
                <c:ptCount val="11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1.1666666666666667</c:v>
                </c:pt>
                <c:pt idx="5">
                  <c:v>1.6666666666666667</c:v>
                </c:pt>
                <c:pt idx="6">
                  <c:v>3.3333333333333335</c:v>
                </c:pt>
                <c:pt idx="7">
                  <c:v>19.166666666666668</c:v>
                </c:pt>
                <c:pt idx="8">
                  <c:v>24</c:v>
                </c:pt>
                <c:pt idx="9">
                  <c:v>47.666666666666664</c:v>
                </c:pt>
                <c:pt idx="10">
                  <c:v>50.833333333333336</c:v>
                </c:pt>
              </c:numCache>
            </c:numRef>
          </c:xVal>
          <c:yVal>
            <c:numRef>
              <c:f>Sheet1!$AH$73:$AH$83</c:f>
              <c:numCache>
                <c:formatCode>General</c:formatCode>
                <c:ptCount val="11"/>
                <c:pt idx="0">
                  <c:v>3.7432126033237864E-3</c:v>
                </c:pt>
                <c:pt idx="1">
                  <c:v>3.5159493296278453E-2</c:v>
                </c:pt>
                <c:pt idx="2">
                  <c:v>6.6400437318732575E-2</c:v>
                </c:pt>
                <c:pt idx="3">
                  <c:v>0.11766667091542354</c:v>
                </c:pt>
                <c:pt idx="4">
                  <c:v>0.17340628401434188</c:v>
                </c:pt>
                <c:pt idx="5">
                  <c:v>0.21650781607432085</c:v>
                </c:pt>
                <c:pt idx="6">
                  <c:v>0.30638276362098815</c:v>
                </c:pt>
                <c:pt idx="7">
                  <c:v>0.78153501954997451</c:v>
                </c:pt>
                <c:pt idx="8">
                  <c:v>0.91189476734107189</c:v>
                </c:pt>
                <c:pt idx="9">
                  <c:v>1.1327514243710228</c:v>
                </c:pt>
                <c:pt idx="10">
                  <c:v>1.1646611436168961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F3-4005-AE6C-788BF05E94CD}"/>
            </c:ext>
          </c:extLst>
        </c:ser>
        <c:ser>
          <c:idx val="2"/>
          <c:order val="2"/>
          <c:tx>
            <c:v>Zeus PTFE 8/2/2016</c:v>
          </c:tx>
          <c:spPr>
            <a:ln w="28575">
              <a:noFill/>
            </a:ln>
          </c:spPr>
          <c:xVal>
            <c:numRef>
              <c:f>Sheet1!$AX$73:$AX$81</c:f>
              <c:numCache>
                <c:formatCode>General</c:formatCode>
                <c:ptCount val="9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6</c:v>
                </c:pt>
                <c:pt idx="8">
                  <c:v>10</c:v>
                </c:pt>
              </c:numCache>
            </c:numRef>
          </c:xVal>
          <c:yVal>
            <c:numRef>
              <c:f>Sheet1!$BB$73:$BB$81</c:f>
              <c:numCache>
                <c:formatCode>General</c:formatCode>
                <c:ptCount val="9"/>
                <c:pt idx="0">
                  <c:v>3.5309571158114593E-3</c:v>
                </c:pt>
                <c:pt idx="1">
                  <c:v>3.49507315003336E-2</c:v>
                </c:pt>
                <c:pt idx="2">
                  <c:v>6.6577764500317119E-2</c:v>
                </c:pt>
                <c:pt idx="3">
                  <c:v>0.11881544860155697</c:v>
                </c:pt>
                <c:pt idx="4">
                  <c:v>0.1599764556783119</c:v>
                </c:pt>
                <c:pt idx="5">
                  <c:v>0.21038178516049466</c:v>
                </c:pt>
                <c:pt idx="6">
                  <c:v>0.2498308137875957</c:v>
                </c:pt>
                <c:pt idx="7">
                  <c:v>0.39429277370134491</c:v>
                </c:pt>
                <c:pt idx="8">
                  <c:v>0.50405397358209447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F3-4005-AE6C-788BF05E94CD}"/>
            </c:ext>
          </c:extLst>
        </c:ser>
        <c:ser>
          <c:idx val="0"/>
          <c:order val="3"/>
          <c:tx>
            <c:v>Zeus PTFE 9/2/2016</c:v>
          </c:tx>
          <c:spPr>
            <a:ln w="28575">
              <a:noFill/>
            </a:ln>
          </c:spPr>
          <c:xVal>
            <c:numRef>
              <c:f>Sheet1!$BH$73:$BH$87</c:f>
              <c:numCache>
                <c:formatCode>General</c:formatCode>
                <c:ptCount val="15"/>
                <c:pt idx="0">
                  <c:v>1.6666666666666666E-2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1</c:v>
                </c:pt>
                <c:pt idx="5">
                  <c:v>1.5</c:v>
                </c:pt>
                <c:pt idx="6">
                  <c:v>13</c:v>
                </c:pt>
                <c:pt idx="7">
                  <c:v>17</c:v>
                </c:pt>
                <c:pt idx="8">
                  <c:v>21</c:v>
                </c:pt>
                <c:pt idx="9">
                  <c:v>25</c:v>
                </c:pt>
                <c:pt idx="10">
                  <c:v>37</c:v>
                </c:pt>
                <c:pt idx="11">
                  <c:v>41</c:v>
                </c:pt>
                <c:pt idx="12">
                  <c:v>45</c:v>
                </c:pt>
                <c:pt idx="13">
                  <c:v>49</c:v>
                </c:pt>
                <c:pt idx="14">
                  <c:v>60</c:v>
                </c:pt>
              </c:numCache>
            </c:numRef>
          </c:xVal>
          <c:yVal>
            <c:numRef>
              <c:f>Sheet1!$BL$73:$BL$87</c:f>
              <c:numCache>
                <c:formatCode>General</c:formatCode>
                <c:ptCount val="15"/>
                <c:pt idx="0">
                  <c:v>3.6815641325928196E-3</c:v>
                </c:pt>
                <c:pt idx="1">
                  <c:v>3.5039827056359406E-2</c:v>
                </c:pt>
                <c:pt idx="2">
                  <c:v>6.6413736153452141E-2</c:v>
                </c:pt>
                <c:pt idx="3">
                  <c:v>0.11600601362217448</c:v>
                </c:pt>
                <c:pt idx="4">
                  <c:v>0.15997087343536545</c:v>
                </c:pt>
                <c:pt idx="5">
                  <c:v>0.21116713427448019</c:v>
                </c:pt>
                <c:pt idx="6">
                  <c:v>0.52978072761168804</c:v>
                </c:pt>
                <c:pt idx="7">
                  <c:v>0.60693429851224812</c:v>
                </c:pt>
                <c:pt idx="8">
                  <c:v>0.68586577189880482</c:v>
                </c:pt>
                <c:pt idx="9">
                  <c:v>0.75506878921287734</c:v>
                </c:pt>
                <c:pt idx="10">
                  <c:v>0.9651186244065928</c:v>
                </c:pt>
                <c:pt idx="11">
                  <c:v>1.0277938487499176</c:v>
                </c:pt>
                <c:pt idx="12">
                  <c:v>1.0740001155247478</c:v>
                </c:pt>
                <c:pt idx="13">
                  <c:v>1.123517390626154</c:v>
                </c:pt>
                <c:pt idx="14">
                  <c:v>1.146483875971172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F3-4005-AE6C-788BF05E9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36224"/>
        <c:axId val="113836416"/>
      </c:scatterChart>
      <c:valAx>
        <c:axId val="113236224"/>
        <c:scaling>
          <c:orientation val="minMax"/>
          <c:max val="6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US" sz="1500"/>
                  <a:t>time (hours)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836416"/>
        <c:crosses val="autoZero"/>
        <c:crossBetween val="midCat"/>
      </c:valAx>
      <c:valAx>
        <c:axId val="1138364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Ssol/S* (-)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23622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0"/>
            </a:pPr>
            <a:r>
              <a:rPr lang="en-US" sz="1000"/>
              <a:t>Recirculations; Ql=4.55ml/min; Qg=60ml/min; VOL liq=100ml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03742097028177E-2"/>
          <c:y val="0.10702295599707133"/>
          <c:w val="0.78813719181362629"/>
          <c:h val="0.71952231368613961"/>
        </c:manualLayout>
      </c:layout>
      <c:scatterChart>
        <c:scatterStyle val="lineMarker"/>
        <c:varyColors val="0"/>
        <c:ser>
          <c:idx val="6"/>
          <c:order val="0"/>
          <c:tx>
            <c:v>NH3 2.3M PTFE 27/01/2016</c:v>
          </c:tx>
          <c:spPr>
            <a:ln w="28575">
              <a:noFill/>
            </a:ln>
          </c:spPr>
          <c:xVal>
            <c:numRef>
              <c:f>Sheet1!$CI$35:$CI$45</c:f>
              <c:numCache>
                <c:formatCode>0</c:formatCode>
                <c:ptCount val="11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70</c:v>
                </c:pt>
                <c:pt idx="5">
                  <c:v>100</c:v>
                </c:pt>
                <c:pt idx="6">
                  <c:v>200</c:v>
                </c:pt>
                <c:pt idx="7">
                  <c:v>1150</c:v>
                </c:pt>
                <c:pt idx="8" formatCode="General">
                  <c:v>1440</c:v>
                </c:pt>
                <c:pt idx="9" formatCode="General">
                  <c:v>2860</c:v>
                </c:pt>
                <c:pt idx="10" formatCode="General">
                  <c:v>3050</c:v>
                </c:pt>
              </c:numCache>
            </c:numRef>
          </c:xVal>
          <c:yVal>
            <c:numRef>
              <c:f>Sheet1!$CM$35:$CM$45</c:f>
              <c:numCache>
                <c:formatCode>General</c:formatCode>
                <c:ptCount val="11"/>
                <c:pt idx="0">
                  <c:v>10.019906818635263</c:v>
                </c:pt>
                <c:pt idx="1">
                  <c:v>9.3439702585355473</c:v>
                </c:pt>
                <c:pt idx="2">
                  <c:v>8.3626387599046446</c:v>
                </c:pt>
                <c:pt idx="3">
                  <c:v>6.8615242843153945</c:v>
                </c:pt>
                <c:pt idx="4">
                  <c:v>4.9734972650855935</c:v>
                </c:pt>
                <c:pt idx="5">
                  <c:v>3.8458349440079695</c:v>
                </c:pt>
                <c:pt idx="6">
                  <c:v>2.4057906808384475</c:v>
                </c:pt>
                <c:pt idx="7">
                  <c:v>1.3388390735035474</c:v>
                </c:pt>
                <c:pt idx="8">
                  <c:v>1.2032744690536277</c:v>
                </c:pt>
                <c:pt idx="9">
                  <c:v>0.41633348146643812</c:v>
                </c:pt>
                <c:pt idx="10">
                  <c:v>0.44956093986522588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6F-4D46-86ED-14A1DBF899E7}"/>
            </c:ext>
          </c:extLst>
        </c:ser>
        <c:ser>
          <c:idx val="7"/>
          <c:order val="1"/>
          <c:tx>
            <c:v>NH3 2.3M PTFE 8/2/2016</c:v>
          </c:tx>
          <c:spPr>
            <a:ln w="28575">
              <a:noFill/>
            </a:ln>
          </c:spPr>
          <c:marker>
            <c:symbol val="square"/>
            <c:size val="7"/>
          </c:marker>
          <c:xVal>
            <c:numRef>
              <c:f>Sheet1!$CX$36:$CX$44</c:f>
              <c:numCache>
                <c:formatCode>0</c:formatCode>
                <c:ptCount val="9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60</c:v>
                </c:pt>
                <c:pt idx="5">
                  <c:v>90</c:v>
                </c:pt>
                <c:pt idx="6">
                  <c:v>120</c:v>
                </c:pt>
                <c:pt idx="7" formatCode="General">
                  <c:v>360</c:v>
                </c:pt>
                <c:pt idx="8" formatCode="General">
                  <c:v>600</c:v>
                </c:pt>
              </c:numCache>
            </c:numRef>
          </c:xVal>
          <c:yVal>
            <c:numRef>
              <c:f>Sheet1!$DB$36:$DB$44</c:f>
              <c:numCache>
                <c:formatCode>General</c:formatCode>
                <c:ptCount val="9"/>
                <c:pt idx="0">
                  <c:v>9.4517370585930358</c:v>
                </c:pt>
                <c:pt idx="1">
                  <c:v>9.3450093678565391</c:v>
                </c:pt>
                <c:pt idx="2">
                  <c:v>8.4659878343096526</c:v>
                </c:pt>
                <c:pt idx="3">
                  <c:v>6.9915441972352887</c:v>
                </c:pt>
                <c:pt idx="4">
                  <c:v>5.5090305998656648</c:v>
                </c:pt>
                <c:pt idx="5">
                  <c:v>4.4975333409739626</c:v>
                </c:pt>
                <c:pt idx="6">
                  <c:v>3.5199317878110232</c:v>
                </c:pt>
                <c:pt idx="7">
                  <c:v>1.6112445050185478</c:v>
                </c:pt>
                <c:pt idx="8">
                  <c:v>1.2242124520371283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6F-4D46-86ED-14A1DBF899E7}"/>
            </c:ext>
          </c:extLst>
        </c:ser>
        <c:ser>
          <c:idx val="0"/>
          <c:order val="2"/>
          <c:tx>
            <c:v>NH3 2.3M PTFE 9/2/2016</c:v>
          </c:tx>
          <c:spPr>
            <a:ln w="28575">
              <a:noFill/>
            </a:ln>
          </c:spPr>
          <c:xVal>
            <c:numRef>
              <c:f>Sheet1!$DE$36:$DE$50</c:f>
              <c:numCache>
                <c:formatCode>0</c:formatCode>
                <c:ptCount val="15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60</c:v>
                </c:pt>
                <c:pt idx="5">
                  <c:v>90</c:v>
                </c:pt>
                <c:pt idx="6">
                  <c:v>780</c:v>
                </c:pt>
                <c:pt idx="7" formatCode="General">
                  <c:v>1020</c:v>
                </c:pt>
                <c:pt idx="8" formatCode="General">
                  <c:v>1260</c:v>
                </c:pt>
                <c:pt idx="9" formatCode="General">
                  <c:v>1500</c:v>
                </c:pt>
                <c:pt idx="10" formatCode="General">
                  <c:v>2220</c:v>
                </c:pt>
                <c:pt idx="11" formatCode="General">
                  <c:v>2460</c:v>
                </c:pt>
                <c:pt idx="12" formatCode="General">
                  <c:v>2700</c:v>
                </c:pt>
                <c:pt idx="13" formatCode="General">
                  <c:v>2940</c:v>
                </c:pt>
                <c:pt idx="14" formatCode="General">
                  <c:v>3600</c:v>
                </c:pt>
              </c:numCache>
            </c:numRef>
          </c:xVal>
          <c:yVal>
            <c:numRef>
              <c:f>Sheet1!$DI$36:$DI$50</c:f>
              <c:numCache>
                <c:formatCode>General</c:formatCode>
                <c:ptCount val="15"/>
                <c:pt idx="0">
                  <c:v>9.8548849516734052</c:v>
                </c:pt>
                <c:pt idx="1">
                  <c:v>9.3267143549784599</c:v>
                </c:pt>
                <c:pt idx="2">
                  <c:v>8.3982311186402594</c:v>
                </c:pt>
                <c:pt idx="3">
                  <c:v>6.6374803119554535</c:v>
                </c:pt>
                <c:pt idx="4">
                  <c:v>5.8843010711089789</c:v>
                </c:pt>
                <c:pt idx="5">
                  <c:v>4.5681060400271587</c:v>
                </c:pt>
                <c:pt idx="6">
                  <c:v>1.2360453302671</c:v>
                </c:pt>
                <c:pt idx="7">
                  <c:v>0.86052596289228989</c:v>
                </c:pt>
                <c:pt idx="8">
                  <c:v>0.88035565101732471</c:v>
                </c:pt>
                <c:pt idx="9">
                  <c:v>0.77185012195996328</c:v>
                </c:pt>
                <c:pt idx="10">
                  <c:v>0.78092447990689473</c:v>
                </c:pt>
                <c:pt idx="11">
                  <c:v>0.69904292371694121</c:v>
                </c:pt>
                <c:pt idx="12">
                  <c:v>0.51535776949735668</c:v>
                </c:pt>
                <c:pt idx="13">
                  <c:v>0.55228682663773765</c:v>
                </c:pt>
                <c:pt idx="14">
                  <c:v>9.3147197136546331E-2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6F-4D46-86ED-14A1DBF89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71104"/>
        <c:axId val="113881472"/>
      </c:scatterChart>
      <c:valAx>
        <c:axId val="11387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500"/>
                </a:pPr>
                <a:r>
                  <a:rPr lang="en-GB" sz="1500"/>
                  <a:t>Time</a:t>
                </a:r>
                <a:r>
                  <a:rPr lang="en-GB" sz="1500" baseline="0"/>
                  <a:t> measurement (min)</a:t>
                </a:r>
                <a:endParaRPr lang="en-GB" sz="1500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881472"/>
        <c:crosses val="autoZero"/>
        <c:crossBetween val="midCat"/>
      </c:valAx>
      <c:valAx>
        <c:axId val="1138814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500"/>
                </a:pPr>
                <a:r>
                  <a:rPr lang="en-US" sz="1500"/>
                  <a:t>JCO2 (*10^3molCO2/m2*s)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13871104"/>
        <c:crosses val="autoZero"/>
        <c:crossBetween val="midCat"/>
        <c:majorUnit val="2"/>
        <c:minorUnit val="4.0000000000000015E-2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9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12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8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90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0C7F3E-F2C1-4342-B622-17A1378C7FBB}">
  <sheetPr/>
  <sheetViews>
    <sheetView tabSelected="1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277C72F-8FFF-464B-AF76-38E0A6524276}">
  <sheetPr/>
  <sheetViews>
    <sheetView zoomScale="9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image" Target="../media/image1.png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chart" Target="../charts/chart30.xml"/><Relationship Id="rId18" Type="http://schemas.openxmlformats.org/officeDocument/2006/relationships/chart" Target="../charts/chart35.xml"/><Relationship Id="rId3" Type="http://schemas.openxmlformats.org/officeDocument/2006/relationships/image" Target="../media/image3.png"/><Relationship Id="rId21" Type="http://schemas.openxmlformats.org/officeDocument/2006/relationships/chart" Target="../charts/chart38.xm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chart" Target="../charts/chart34.xml"/><Relationship Id="rId2" Type="http://schemas.openxmlformats.org/officeDocument/2006/relationships/image" Target="../media/image2.png"/><Relationship Id="rId16" Type="http://schemas.openxmlformats.org/officeDocument/2006/relationships/chart" Target="../charts/chart33.xml"/><Relationship Id="rId20" Type="http://schemas.openxmlformats.org/officeDocument/2006/relationships/chart" Target="../charts/chart37.xml"/><Relationship Id="rId1" Type="http://schemas.openxmlformats.org/officeDocument/2006/relationships/chart" Target="../charts/chart29.xml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chart" Target="../charts/chart32.xml"/><Relationship Id="rId10" Type="http://schemas.openxmlformats.org/officeDocument/2006/relationships/image" Target="../media/image10.png"/><Relationship Id="rId19" Type="http://schemas.openxmlformats.org/officeDocument/2006/relationships/chart" Target="../charts/chart36.xm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8379" cy="606391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58C97B-40DA-4B17-810F-6DF710EDC9B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0.87528</cdr:x>
      <cdr:y>0.19872</cdr:y>
    </cdr:from>
    <cdr:to>
      <cdr:x>0.99419</cdr:x>
      <cdr:y>0.28469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261679" y="707686"/>
          <a:ext cx="986518" cy="306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Time</a:t>
          </a:r>
          <a:r>
            <a:rPr lang="en-GB" sz="1100" baseline="0"/>
            <a:t> (hours)</a:t>
          </a:r>
          <a:endParaRPr lang="en-GB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0.14808</cdr:x>
      <cdr:y>0.41595</cdr:y>
    </cdr:from>
    <cdr:to>
      <cdr:x>0.14808</cdr:x>
      <cdr:y>0.68925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127DFB4B-4F33-47C9-99C8-4F690E772B91}"/>
            </a:ext>
          </a:extLst>
        </cdr:cNvPr>
        <cdr:cNvCxnSpPr/>
      </cdr:nvCxnSpPr>
      <cdr:spPr>
        <a:xfrm xmlns:a="http://schemas.openxmlformats.org/drawingml/2006/main">
          <a:off x="3262847" y="1594666"/>
          <a:ext cx="0" cy="104778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0.12708</cdr:x>
      <cdr:y>0.29715</cdr:y>
    </cdr:from>
    <cdr:to>
      <cdr:x>0.17152</cdr:x>
      <cdr:y>0.38248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800111" y="1139218"/>
          <a:ext cx="979238" cy="3271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LSC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1620500" cy="75882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1BC9B0-052E-4C78-846B-5F78260C702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1610975" cy="7581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4A8B7F-6CD2-4AB5-A5C6-98D501247D2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1620500" cy="75882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C30AB-CE98-4F80-888F-F785C162025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86</xdr:row>
      <xdr:rowOff>0</xdr:rowOff>
    </xdr:from>
    <xdr:to>
      <xdr:col>34</xdr:col>
      <xdr:colOff>467746</xdr:colOff>
      <xdr:row>106</xdr:row>
      <xdr:rowOff>23813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535781</xdr:colOff>
      <xdr:row>106</xdr:row>
      <xdr:rowOff>83342</xdr:rowOff>
    </xdr:from>
    <xdr:to>
      <xdr:col>13</xdr:col>
      <xdr:colOff>83344</xdr:colOff>
      <xdr:row>122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202406</xdr:colOff>
      <xdr:row>176</xdr:row>
      <xdr:rowOff>51195</xdr:rowOff>
    </xdr:from>
    <xdr:to>
      <xdr:col>10</xdr:col>
      <xdr:colOff>904874</xdr:colOff>
      <xdr:row>197</xdr:row>
      <xdr:rowOff>23813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254</xdr:row>
      <xdr:rowOff>0</xdr:rowOff>
    </xdr:from>
    <xdr:to>
      <xdr:col>10</xdr:col>
      <xdr:colOff>702468</xdr:colOff>
      <xdr:row>274</xdr:row>
      <xdr:rowOff>163118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285</xdr:row>
      <xdr:rowOff>0</xdr:rowOff>
    </xdr:from>
    <xdr:to>
      <xdr:col>10</xdr:col>
      <xdr:colOff>702468</xdr:colOff>
      <xdr:row>305</xdr:row>
      <xdr:rowOff>163118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</xdr:col>
      <xdr:colOff>1666957</xdr:colOff>
      <xdr:row>298</xdr:row>
      <xdr:rowOff>23310</xdr:rowOff>
    </xdr:from>
    <xdr:ext cx="497252" cy="327141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974124" y="56929893"/>
          <a:ext cx="497252" cy="327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5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LSC</a:t>
          </a:r>
        </a:p>
      </xdr:txBody>
    </xdr:sp>
    <xdr:clientData/>
  </xdr:oneCellAnchor>
  <xdr:twoCellAnchor>
    <xdr:from>
      <xdr:col>8</xdr:col>
      <xdr:colOff>0</xdr:colOff>
      <xdr:row>377</xdr:row>
      <xdr:rowOff>0</xdr:rowOff>
    </xdr:from>
    <xdr:to>
      <xdr:col>21</xdr:col>
      <xdr:colOff>571499</xdr:colOff>
      <xdr:row>397</xdr:row>
      <xdr:rowOff>163118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403</xdr:row>
      <xdr:rowOff>0</xdr:rowOff>
    </xdr:from>
    <xdr:to>
      <xdr:col>21</xdr:col>
      <xdr:colOff>571499</xdr:colOff>
      <xdr:row>423</xdr:row>
      <xdr:rowOff>163118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566057</xdr:colOff>
      <xdr:row>155</xdr:row>
      <xdr:rowOff>42636</xdr:rowOff>
    </xdr:from>
    <xdr:to>
      <xdr:col>35</xdr:col>
      <xdr:colOff>578757</xdr:colOff>
      <xdr:row>170</xdr:row>
      <xdr:rowOff>126093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778087</xdr:colOff>
      <xdr:row>137</xdr:row>
      <xdr:rowOff>84667</xdr:rowOff>
    </xdr:from>
    <xdr:to>
      <xdr:col>63</xdr:col>
      <xdr:colOff>163453</xdr:colOff>
      <xdr:row>157</xdr:row>
      <xdr:rowOff>57792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46</xdr:col>
      <xdr:colOff>268562</xdr:colOff>
      <xdr:row>219</xdr:row>
      <xdr:rowOff>80785</xdr:rowOff>
    </xdr:from>
    <xdr:to>
      <xdr:col>58</xdr:col>
      <xdr:colOff>531396</xdr:colOff>
      <xdr:row>242</xdr:row>
      <xdr:rowOff>118885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61</xdr:col>
      <xdr:colOff>95250</xdr:colOff>
      <xdr:row>219</xdr:row>
      <xdr:rowOff>0</xdr:rowOff>
    </xdr:from>
    <xdr:to>
      <xdr:col>71</xdr:col>
      <xdr:colOff>1052049</xdr:colOff>
      <xdr:row>242</xdr:row>
      <xdr:rowOff>38100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0.69778</cdr:x>
      <cdr:y>0.05802</cdr:y>
    </cdr:from>
    <cdr:to>
      <cdr:x>0.72588</cdr:x>
      <cdr:y>0.14335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6435393" y="222437"/>
          <a:ext cx="661982" cy="3271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LSC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0.16906</cdr:x>
      <cdr:y>0.43308</cdr:y>
    </cdr:from>
    <cdr:to>
      <cdr:x>0.20169</cdr:x>
      <cdr:y>0.55234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2074633" y="1294239"/>
          <a:ext cx="400415" cy="3564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LSC</a:t>
          </a:r>
        </a:p>
      </cdr:txBody>
    </cdr:sp>
  </cdr:relSizeAnchor>
  <cdr:relSizeAnchor xmlns:cdr="http://schemas.openxmlformats.org/drawingml/2006/chartDrawing">
    <cdr:from>
      <cdr:x>0.31007</cdr:x>
      <cdr:y>0.49243</cdr:y>
    </cdr:from>
    <cdr:to>
      <cdr:x>0.3427</cdr:x>
      <cdr:y>0.61169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805034" y="1471626"/>
          <a:ext cx="400415" cy="356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LSC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0.85054</cdr:x>
      <cdr:y>0.07634</cdr:y>
    </cdr:from>
    <cdr:to>
      <cdr:x>0.90389</cdr:x>
      <cdr:y>0.15868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9154559" y="303306"/>
          <a:ext cx="574196" cy="3271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LSC</a:t>
          </a:r>
        </a:p>
      </cdr:txBody>
    </cdr:sp>
  </cdr:relSizeAnchor>
  <cdr:relSizeAnchor xmlns:cdr="http://schemas.openxmlformats.org/drawingml/2006/chartDrawing">
    <cdr:from>
      <cdr:x>0.63193</cdr:x>
      <cdr:y>0.56718</cdr:y>
    </cdr:from>
    <cdr:to>
      <cdr:x>0.68528</cdr:x>
      <cdr:y>0.64952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6801644" y="2253456"/>
          <a:ext cx="574219" cy="32714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LSC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0.85054</cdr:x>
      <cdr:y>0.07634</cdr:y>
    </cdr:from>
    <cdr:to>
      <cdr:x>0.90389</cdr:x>
      <cdr:y>0.15868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9154559" y="303306"/>
          <a:ext cx="574196" cy="3271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LSC</a:t>
          </a:r>
        </a:p>
      </cdr:txBody>
    </cdr:sp>
  </cdr:relSizeAnchor>
  <cdr:relSizeAnchor xmlns:cdr="http://schemas.openxmlformats.org/drawingml/2006/chartDrawing">
    <cdr:from>
      <cdr:x>0.63746</cdr:x>
      <cdr:y>0.57317</cdr:y>
    </cdr:from>
    <cdr:to>
      <cdr:x>0.69081</cdr:x>
      <cdr:y>0.65551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6861175" y="2277269"/>
          <a:ext cx="574219" cy="32714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LSC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8</xdr:col>
      <xdr:colOff>982022</xdr:colOff>
      <xdr:row>10</xdr:row>
      <xdr:rowOff>47500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09950" y="952500"/>
          <a:ext cx="3740341" cy="1000000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23</xdr:row>
      <xdr:rowOff>4761</xdr:rowOff>
    </xdr:from>
    <xdr:to>
      <xdr:col>13</xdr:col>
      <xdr:colOff>638175</xdr:colOff>
      <xdr:row>43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485774</xdr:colOff>
      <xdr:row>44</xdr:row>
      <xdr:rowOff>100012</xdr:rowOff>
    </xdr:from>
    <xdr:to>
      <xdr:col>13</xdr:col>
      <xdr:colOff>561974</xdr:colOff>
      <xdr:row>58</xdr:row>
      <xdr:rowOff>176212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124</xdr:row>
      <xdr:rowOff>0</xdr:rowOff>
    </xdr:from>
    <xdr:to>
      <xdr:col>12</xdr:col>
      <xdr:colOff>183357</xdr:colOff>
      <xdr:row>144</xdr:row>
      <xdr:rowOff>23813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150</xdr:row>
      <xdr:rowOff>0</xdr:rowOff>
    </xdr:from>
    <xdr:to>
      <xdr:col>12</xdr:col>
      <xdr:colOff>183357</xdr:colOff>
      <xdr:row>170</xdr:row>
      <xdr:rowOff>23813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150</xdr:row>
      <xdr:rowOff>0</xdr:rowOff>
    </xdr:from>
    <xdr:to>
      <xdr:col>22</xdr:col>
      <xdr:colOff>611982</xdr:colOff>
      <xdr:row>164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177</xdr:row>
      <xdr:rowOff>0</xdr:rowOff>
    </xdr:from>
    <xdr:to>
      <xdr:col>12</xdr:col>
      <xdr:colOff>187326</xdr:colOff>
      <xdr:row>197</xdr:row>
      <xdr:rowOff>23813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177</xdr:row>
      <xdr:rowOff>0</xdr:rowOff>
    </xdr:from>
    <xdr:to>
      <xdr:col>22</xdr:col>
      <xdr:colOff>611982</xdr:colOff>
      <xdr:row>191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202</xdr:row>
      <xdr:rowOff>0</xdr:rowOff>
    </xdr:from>
    <xdr:to>
      <xdr:col>12</xdr:col>
      <xdr:colOff>187326</xdr:colOff>
      <xdr:row>222</xdr:row>
      <xdr:rowOff>23813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23813</xdr:colOff>
      <xdr:row>202</xdr:row>
      <xdr:rowOff>11907</xdr:rowOff>
    </xdr:from>
    <xdr:to>
      <xdr:col>22</xdr:col>
      <xdr:colOff>635795</xdr:colOff>
      <xdr:row>216</xdr:row>
      <xdr:rowOff>88107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228</xdr:row>
      <xdr:rowOff>0</xdr:rowOff>
    </xdr:from>
    <xdr:to>
      <xdr:col>11</xdr:col>
      <xdr:colOff>266701</xdr:colOff>
      <xdr:row>242</xdr:row>
      <xdr:rowOff>76200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245</xdr:row>
      <xdr:rowOff>0</xdr:rowOff>
    </xdr:from>
    <xdr:to>
      <xdr:col>12</xdr:col>
      <xdr:colOff>178255</xdr:colOff>
      <xdr:row>265</xdr:row>
      <xdr:rowOff>23813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341542</xdr:colOff>
      <xdr:row>265</xdr:row>
      <xdr:rowOff>23813</xdr:rowOff>
    </xdr:to>
    <xdr:graphicFrame macro="">
      <xdr:nvGraphicFramePr>
        <xdr:cNvPr id="14" name="Chart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857251</xdr:colOff>
      <xdr:row>277</xdr:row>
      <xdr:rowOff>116418</xdr:rowOff>
    </xdr:from>
    <xdr:to>
      <xdr:col>22</xdr:col>
      <xdr:colOff>105833</xdr:colOff>
      <xdr:row>294</xdr:row>
      <xdr:rowOff>10584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888999</xdr:colOff>
      <xdr:row>271</xdr:row>
      <xdr:rowOff>73024</xdr:rowOff>
    </xdr:from>
    <xdr:to>
      <xdr:col>8</xdr:col>
      <xdr:colOff>232832</xdr:colOff>
      <xdr:row>285</xdr:row>
      <xdr:rowOff>149224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275167</xdr:colOff>
      <xdr:row>320</xdr:row>
      <xdr:rowOff>157690</xdr:rowOff>
    </xdr:from>
    <xdr:to>
      <xdr:col>4</xdr:col>
      <xdr:colOff>465667</xdr:colOff>
      <xdr:row>351</xdr:row>
      <xdr:rowOff>169333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1259416</xdr:colOff>
      <xdr:row>321</xdr:row>
      <xdr:rowOff>0</xdr:rowOff>
    </xdr:from>
    <xdr:to>
      <xdr:col>11</xdr:col>
      <xdr:colOff>402167</xdr:colOff>
      <xdr:row>351</xdr:row>
      <xdr:rowOff>169333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380998</xdr:colOff>
      <xdr:row>300</xdr:row>
      <xdr:rowOff>39291</xdr:rowOff>
    </xdr:from>
    <xdr:to>
      <xdr:col>40</xdr:col>
      <xdr:colOff>535780</xdr:colOff>
      <xdr:row>314</xdr:row>
      <xdr:rowOff>115491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595313</xdr:colOff>
      <xdr:row>312</xdr:row>
      <xdr:rowOff>0</xdr:rowOff>
    </xdr:from>
    <xdr:to>
      <xdr:col>36</xdr:col>
      <xdr:colOff>845344</xdr:colOff>
      <xdr:row>316</xdr:row>
      <xdr:rowOff>142875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 flipV="1">
          <a:off x="35504438" y="59436000"/>
          <a:ext cx="250031" cy="9048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130969</xdr:colOff>
      <xdr:row>311</xdr:row>
      <xdr:rowOff>152400</xdr:rowOff>
    </xdr:from>
    <xdr:to>
      <xdr:col>37</xdr:col>
      <xdr:colOff>295276</xdr:colOff>
      <xdr:row>317</xdr:row>
      <xdr:rowOff>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 flipV="1">
          <a:off x="36385500" y="59397900"/>
          <a:ext cx="164307" cy="9906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773907</xdr:colOff>
      <xdr:row>279</xdr:row>
      <xdr:rowOff>15478</xdr:rowOff>
    </xdr:from>
    <xdr:to>
      <xdr:col>42</xdr:col>
      <xdr:colOff>71438</xdr:colOff>
      <xdr:row>293</xdr:row>
      <xdr:rowOff>91678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435428</xdr:colOff>
      <xdr:row>325</xdr:row>
      <xdr:rowOff>159204</xdr:rowOff>
    </xdr:from>
    <xdr:to>
      <xdr:col>36</xdr:col>
      <xdr:colOff>1714499</xdr:colOff>
      <xdr:row>340</xdr:row>
      <xdr:rowOff>44904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29</xdr:col>
      <xdr:colOff>476250</xdr:colOff>
      <xdr:row>333</xdr:row>
      <xdr:rowOff>73269</xdr:rowOff>
    </xdr:from>
    <xdr:to>
      <xdr:col>36</xdr:col>
      <xdr:colOff>827942</xdr:colOff>
      <xdr:row>333</xdr:row>
      <xdr:rowOff>83346</xdr:rowOff>
    </xdr:to>
    <xdr:cxnSp macro="">
      <xdr:nvCxnSpPr>
        <xdr:cNvPr id="28" name="Straight Connector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 flipV="1">
          <a:off x="29241750" y="63509769"/>
          <a:ext cx="6455019" cy="1007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30</xdr:col>
      <xdr:colOff>43961</xdr:colOff>
      <xdr:row>332</xdr:row>
      <xdr:rowOff>7327</xdr:rowOff>
    </xdr:from>
    <xdr:ext cx="1172307" cy="220598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9498192" y="63253327"/>
          <a:ext cx="1172307" cy="2205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Saturation line</a:t>
          </a:r>
        </a:p>
      </xdr:txBody>
    </xdr:sp>
    <xdr:clientData/>
  </xdr:oneCellAnchor>
  <xdr:oneCellAnchor>
    <xdr:from>
      <xdr:col>33</xdr:col>
      <xdr:colOff>989134</xdr:colOff>
      <xdr:row>328</xdr:row>
      <xdr:rowOff>43963</xdr:rowOff>
    </xdr:from>
    <xdr:ext cx="1062404" cy="703384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32868576" y="62527963"/>
          <a:ext cx="1062404" cy="703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nucleation, growth, harvesting</a:t>
          </a:r>
        </a:p>
      </xdr:txBody>
    </xdr:sp>
    <xdr:clientData/>
  </xdr:oneCellAnchor>
  <xdr:twoCellAnchor>
    <xdr:from>
      <xdr:col>34</xdr:col>
      <xdr:colOff>256443</xdr:colOff>
      <xdr:row>331</xdr:row>
      <xdr:rowOff>29308</xdr:rowOff>
    </xdr:from>
    <xdr:to>
      <xdr:col>34</xdr:col>
      <xdr:colOff>256443</xdr:colOff>
      <xdr:row>332</xdr:row>
      <xdr:rowOff>168519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CxnSpPr/>
      </xdr:nvCxnSpPr>
      <xdr:spPr>
        <a:xfrm>
          <a:off x="33381462" y="63084808"/>
          <a:ext cx="0" cy="32971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35</xdr:col>
      <xdr:colOff>674077</xdr:colOff>
      <xdr:row>327</xdr:row>
      <xdr:rowOff>123094</xdr:rowOff>
    </xdr:from>
    <xdr:ext cx="1258765" cy="272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34407231" y="62416594"/>
          <a:ext cx="1258765" cy="272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nucleation, growth</a:t>
          </a:r>
        </a:p>
      </xdr:txBody>
    </xdr:sp>
    <xdr:clientData/>
  </xdr:oneCellAnchor>
  <xdr:twoCellAnchor>
    <xdr:from>
      <xdr:col>36</xdr:col>
      <xdr:colOff>613998</xdr:colOff>
      <xdr:row>328</xdr:row>
      <xdr:rowOff>168519</xdr:rowOff>
    </xdr:from>
    <xdr:to>
      <xdr:col>36</xdr:col>
      <xdr:colOff>615461</xdr:colOff>
      <xdr:row>329</xdr:row>
      <xdr:rowOff>174381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CxnSpPr/>
      </xdr:nvCxnSpPr>
      <xdr:spPr>
        <a:xfrm flipH="1">
          <a:off x="35482825" y="62652519"/>
          <a:ext cx="1463" cy="19636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36</xdr:col>
      <xdr:colOff>1614670</xdr:colOff>
      <xdr:row>282</xdr:row>
      <xdr:rowOff>32057</xdr:rowOff>
    </xdr:from>
    <xdr:ext cx="1062404" cy="703384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36523795" y="53753057"/>
          <a:ext cx="1062404" cy="703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nucleation, growth, harvesting</a:t>
          </a:r>
        </a:p>
      </xdr:txBody>
    </xdr:sp>
    <xdr:clientData/>
  </xdr:oneCellAnchor>
  <xdr:oneCellAnchor>
    <xdr:from>
      <xdr:col>38</xdr:col>
      <xdr:colOff>478082</xdr:colOff>
      <xdr:row>282</xdr:row>
      <xdr:rowOff>99281</xdr:rowOff>
    </xdr:from>
    <xdr:ext cx="1258765" cy="272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7863707" y="53820281"/>
          <a:ext cx="1258765" cy="272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nucleation, growth</a:t>
          </a:r>
        </a:p>
      </xdr:txBody>
    </xdr:sp>
    <xdr:clientData/>
  </xdr:oneCellAnchor>
  <xdr:twoCellAnchor>
    <xdr:from>
      <xdr:col>37</xdr:col>
      <xdr:colOff>452438</xdr:colOff>
      <xdr:row>285</xdr:row>
      <xdr:rowOff>154781</xdr:rowOff>
    </xdr:from>
    <xdr:to>
      <xdr:col>37</xdr:col>
      <xdr:colOff>464345</xdr:colOff>
      <xdr:row>290</xdr:row>
      <xdr:rowOff>23813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37230844" y="54447281"/>
          <a:ext cx="11907" cy="82153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271464</xdr:colOff>
      <xdr:row>284</xdr:row>
      <xdr:rowOff>11906</xdr:rowOff>
    </xdr:from>
    <xdr:to>
      <xdr:col>40</xdr:col>
      <xdr:colOff>273843</xdr:colOff>
      <xdr:row>289</xdr:row>
      <xdr:rowOff>188119</xdr:rowOff>
    </xdr:to>
    <xdr:cxnSp macro="">
      <xdr:nvCxnSpPr>
        <xdr:cNvPr id="54" name="Straight Arrow Connector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CxnSpPr/>
      </xdr:nvCxnSpPr>
      <xdr:spPr>
        <a:xfrm flipH="1">
          <a:off x="38871527" y="54113906"/>
          <a:ext cx="2379" cy="112871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222</xdr:row>
      <xdr:rowOff>0</xdr:rowOff>
    </xdr:from>
    <xdr:to>
      <xdr:col>22</xdr:col>
      <xdr:colOff>611982</xdr:colOff>
      <xdr:row>236</xdr:row>
      <xdr:rowOff>76200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202</xdr:row>
      <xdr:rowOff>0</xdr:rowOff>
    </xdr:from>
    <xdr:to>
      <xdr:col>36</xdr:col>
      <xdr:colOff>278607</xdr:colOff>
      <xdr:row>216</xdr:row>
      <xdr:rowOff>76200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221</xdr:row>
      <xdr:rowOff>0</xdr:rowOff>
    </xdr:from>
    <xdr:to>
      <xdr:col>36</xdr:col>
      <xdr:colOff>278607</xdr:colOff>
      <xdr:row>235</xdr:row>
      <xdr:rowOff>76200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333375</xdr:colOff>
      <xdr:row>359</xdr:row>
      <xdr:rowOff>39289</xdr:rowOff>
    </xdr:from>
    <xdr:to>
      <xdr:col>14</xdr:col>
      <xdr:colOff>809625</xdr:colOff>
      <xdr:row>378</xdr:row>
      <xdr:rowOff>47624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1512094</xdr:colOff>
      <xdr:row>370</xdr:row>
      <xdr:rowOff>11906</xdr:rowOff>
    </xdr:from>
    <xdr:to>
      <xdr:col>8</xdr:col>
      <xdr:colOff>1512094</xdr:colOff>
      <xdr:row>373</xdr:row>
      <xdr:rowOff>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>
          <a:off x="9894094" y="70496906"/>
          <a:ext cx="0" cy="559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640556</xdr:colOff>
      <xdr:row>370</xdr:row>
      <xdr:rowOff>69056</xdr:rowOff>
    </xdr:from>
    <xdr:to>
      <xdr:col>9</xdr:col>
      <xdr:colOff>640556</xdr:colOff>
      <xdr:row>373</xdr:row>
      <xdr:rowOff>57150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CxnSpPr/>
      </xdr:nvCxnSpPr>
      <xdr:spPr>
        <a:xfrm>
          <a:off x="10903744" y="70554056"/>
          <a:ext cx="0" cy="559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78582</xdr:colOff>
      <xdr:row>369</xdr:row>
      <xdr:rowOff>150018</xdr:rowOff>
    </xdr:from>
    <xdr:to>
      <xdr:col>11</xdr:col>
      <xdr:colOff>78582</xdr:colOff>
      <xdr:row>372</xdr:row>
      <xdr:rowOff>138112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11889582" y="70444518"/>
          <a:ext cx="0" cy="559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326233</xdr:colOff>
      <xdr:row>370</xdr:row>
      <xdr:rowOff>16668</xdr:rowOff>
    </xdr:from>
    <xdr:to>
      <xdr:col>12</xdr:col>
      <xdr:colOff>326233</xdr:colOff>
      <xdr:row>373</xdr:row>
      <xdr:rowOff>4762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CxnSpPr/>
      </xdr:nvCxnSpPr>
      <xdr:spPr>
        <a:xfrm>
          <a:off x="12911139" y="70501668"/>
          <a:ext cx="0" cy="559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609601</xdr:colOff>
      <xdr:row>370</xdr:row>
      <xdr:rowOff>107156</xdr:rowOff>
    </xdr:from>
    <xdr:to>
      <xdr:col>13</xdr:col>
      <xdr:colOff>619125</xdr:colOff>
      <xdr:row>374</xdr:row>
      <xdr:rowOff>133350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CxnSpPr/>
      </xdr:nvCxnSpPr>
      <xdr:spPr>
        <a:xfrm flipH="1">
          <a:off x="14254164" y="70592156"/>
          <a:ext cx="9524" cy="7881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1262063</xdr:colOff>
      <xdr:row>367</xdr:row>
      <xdr:rowOff>130969</xdr:rowOff>
    </xdr:from>
    <xdr:to>
      <xdr:col>9</xdr:col>
      <xdr:colOff>59531</xdr:colOff>
      <xdr:row>370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9644063" y="70044469"/>
          <a:ext cx="678656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/>
            <a:t>Lumen blockage</a:t>
          </a:r>
        </a:p>
      </xdr:txBody>
    </xdr:sp>
    <xdr:clientData/>
  </xdr:twoCellAnchor>
  <xdr:twoCellAnchor>
    <xdr:from>
      <xdr:col>9</xdr:col>
      <xdr:colOff>378619</xdr:colOff>
      <xdr:row>367</xdr:row>
      <xdr:rowOff>188119</xdr:rowOff>
    </xdr:from>
    <xdr:to>
      <xdr:col>10</xdr:col>
      <xdr:colOff>283369</xdr:colOff>
      <xdr:row>370</xdr:row>
      <xdr:rowOff>57150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10641807" y="70101619"/>
          <a:ext cx="678656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/>
            <a:t>Lumen blockage</a:t>
          </a:r>
        </a:p>
      </xdr:txBody>
    </xdr:sp>
    <xdr:clientData/>
  </xdr:twoCellAnchor>
  <xdr:twoCellAnchor>
    <xdr:from>
      <xdr:col>10</xdr:col>
      <xdr:colOff>566738</xdr:colOff>
      <xdr:row>367</xdr:row>
      <xdr:rowOff>90488</xdr:rowOff>
    </xdr:from>
    <xdr:to>
      <xdr:col>11</xdr:col>
      <xdr:colOff>471488</xdr:colOff>
      <xdr:row>369</xdr:row>
      <xdr:rowOff>150019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11603832" y="70003988"/>
          <a:ext cx="678656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/>
            <a:t>Lumen blockage</a:t>
          </a:r>
        </a:p>
      </xdr:txBody>
    </xdr:sp>
    <xdr:clientData/>
  </xdr:twoCellAnchor>
  <xdr:twoCellAnchor>
    <xdr:from>
      <xdr:col>12</xdr:col>
      <xdr:colOff>40482</xdr:colOff>
      <xdr:row>367</xdr:row>
      <xdr:rowOff>159545</xdr:rowOff>
    </xdr:from>
    <xdr:to>
      <xdr:col>12</xdr:col>
      <xdr:colOff>719138</xdr:colOff>
      <xdr:row>370</xdr:row>
      <xdr:rowOff>28576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12625388" y="70073045"/>
          <a:ext cx="678656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/>
            <a:t>Lumen blockage</a:t>
          </a:r>
        </a:p>
      </xdr:txBody>
    </xdr:sp>
    <xdr:clientData/>
  </xdr:twoCellAnchor>
  <xdr:twoCellAnchor>
    <xdr:from>
      <xdr:col>13</xdr:col>
      <xdr:colOff>59530</xdr:colOff>
      <xdr:row>365</xdr:row>
      <xdr:rowOff>0</xdr:rowOff>
    </xdr:from>
    <xdr:to>
      <xdr:col>14</xdr:col>
      <xdr:colOff>11906</xdr:colOff>
      <xdr:row>370</xdr:row>
      <xdr:rowOff>121445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13704093" y="69532500"/>
          <a:ext cx="750094" cy="10739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/>
            <a:t>Shell side nucleation and growth</a:t>
          </a:r>
        </a:p>
      </xdr:txBody>
    </xdr:sp>
    <xdr:clientData/>
  </xdr:twoCellAnchor>
  <xdr:twoCellAnchor>
    <xdr:from>
      <xdr:col>8</xdr:col>
      <xdr:colOff>0</xdr:colOff>
      <xdr:row>383</xdr:row>
      <xdr:rowOff>0</xdr:rowOff>
    </xdr:from>
    <xdr:to>
      <xdr:col>14</xdr:col>
      <xdr:colOff>476250</xdr:colOff>
      <xdr:row>402</xdr:row>
      <xdr:rowOff>8335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476250</xdr:colOff>
      <xdr:row>389</xdr:row>
      <xdr:rowOff>142874</xdr:rowOff>
    </xdr:from>
    <xdr:to>
      <xdr:col>12</xdr:col>
      <xdr:colOff>476250</xdr:colOff>
      <xdr:row>392</xdr:row>
      <xdr:rowOff>130968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14501813" y="74247374"/>
          <a:ext cx="0" cy="559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226219</xdr:colOff>
      <xdr:row>387</xdr:row>
      <xdr:rowOff>71437</xdr:rowOff>
    </xdr:from>
    <xdr:to>
      <xdr:col>12</xdr:col>
      <xdr:colOff>904875</xdr:colOff>
      <xdr:row>389</xdr:row>
      <xdr:rowOff>130968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14251782" y="73794937"/>
          <a:ext cx="678656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/>
            <a:t>Lumen blockage</a:t>
          </a:r>
        </a:p>
      </xdr:txBody>
    </xdr:sp>
    <xdr:clientData/>
  </xdr:twoCellAnchor>
  <xdr:twoCellAnchor>
    <xdr:from>
      <xdr:col>10</xdr:col>
      <xdr:colOff>414339</xdr:colOff>
      <xdr:row>384</xdr:row>
      <xdr:rowOff>140494</xdr:rowOff>
    </xdr:from>
    <xdr:to>
      <xdr:col>11</xdr:col>
      <xdr:colOff>488157</xdr:colOff>
      <xdr:row>388</xdr:row>
      <xdr:rowOff>154781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12892089" y="73292494"/>
          <a:ext cx="847724" cy="7762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/>
            <a:t>Shell</a:t>
          </a:r>
          <a:r>
            <a:rPr lang="en-GB" sz="1000" baseline="0"/>
            <a:t> side nucleation, growtht, </a:t>
          </a:r>
        </a:p>
        <a:p>
          <a:r>
            <a:rPr lang="en-GB" sz="1000" baseline="0"/>
            <a:t>harvesting</a:t>
          </a:r>
        </a:p>
        <a:p>
          <a:endParaRPr lang="en-GB" sz="1000"/>
        </a:p>
      </xdr:txBody>
    </xdr:sp>
    <xdr:clientData/>
  </xdr:twoCellAnchor>
  <xdr:twoCellAnchor>
    <xdr:from>
      <xdr:col>10</xdr:col>
      <xdr:colOff>250032</xdr:colOff>
      <xdr:row>385</xdr:row>
      <xdr:rowOff>83343</xdr:rowOff>
    </xdr:from>
    <xdr:to>
      <xdr:col>10</xdr:col>
      <xdr:colOff>416720</xdr:colOff>
      <xdr:row>386</xdr:row>
      <xdr:rowOff>142874</xdr:rowOff>
    </xdr:to>
    <xdr:cxnSp macro="">
      <xdr:nvCxnSpPr>
        <xdr:cNvPr id="39" name="Elbow Connector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CxnSpPr/>
      </xdr:nvCxnSpPr>
      <xdr:spPr>
        <a:xfrm rot="5400000">
          <a:off x="12686110" y="73467515"/>
          <a:ext cx="250031" cy="166688"/>
        </a:xfrm>
        <a:prstGeom prst="bent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11905</xdr:colOff>
      <xdr:row>418</xdr:row>
      <xdr:rowOff>146447</xdr:rowOff>
    </xdr:from>
    <xdr:to>
      <xdr:col>14</xdr:col>
      <xdr:colOff>154780</xdr:colOff>
      <xdr:row>433</xdr:row>
      <xdr:rowOff>32147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690563</xdr:colOff>
      <xdr:row>423</xdr:row>
      <xdr:rowOff>11905</xdr:rowOff>
    </xdr:from>
    <xdr:to>
      <xdr:col>9</xdr:col>
      <xdr:colOff>690563</xdr:colOff>
      <xdr:row>425</xdr:row>
      <xdr:rowOff>190499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CxnSpPr/>
      </xdr:nvCxnSpPr>
      <xdr:spPr>
        <a:xfrm>
          <a:off x="13311188" y="80593405"/>
          <a:ext cx="0" cy="559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440532</xdr:colOff>
      <xdr:row>421</xdr:row>
      <xdr:rowOff>47624</xdr:rowOff>
    </xdr:from>
    <xdr:to>
      <xdr:col>10</xdr:col>
      <xdr:colOff>345282</xdr:colOff>
      <xdr:row>423</xdr:row>
      <xdr:rowOff>107155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13061157" y="80248124"/>
          <a:ext cx="678656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/>
            <a:t>Lumen blockage</a:t>
          </a:r>
        </a:p>
      </xdr:txBody>
    </xdr:sp>
    <xdr:clientData/>
  </xdr:twoCellAnchor>
  <xdr:twoCellAnchor>
    <xdr:from>
      <xdr:col>11</xdr:col>
      <xdr:colOff>223839</xdr:colOff>
      <xdr:row>420</xdr:row>
      <xdr:rowOff>128585</xdr:rowOff>
    </xdr:from>
    <xdr:to>
      <xdr:col>12</xdr:col>
      <xdr:colOff>128589</xdr:colOff>
      <xdr:row>423</xdr:row>
      <xdr:rowOff>178592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14392277" y="80138585"/>
          <a:ext cx="678656" cy="6215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/>
            <a:t>No lumen blockage</a:t>
          </a:r>
        </a:p>
      </xdr:txBody>
    </xdr:sp>
    <xdr:clientData/>
  </xdr:twoCellAnchor>
  <xdr:twoCellAnchor>
    <xdr:from>
      <xdr:col>12</xdr:col>
      <xdr:colOff>142875</xdr:colOff>
      <xdr:row>420</xdr:row>
      <xdr:rowOff>142875</xdr:rowOff>
    </xdr:from>
    <xdr:to>
      <xdr:col>12</xdr:col>
      <xdr:colOff>392907</xdr:colOff>
      <xdr:row>422</xdr:row>
      <xdr:rowOff>35719</xdr:rowOff>
    </xdr:to>
    <xdr:cxnSp macro="">
      <xdr:nvCxnSpPr>
        <xdr:cNvPr id="70" name="Elbow Connector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CxnSpPr/>
      </xdr:nvCxnSpPr>
      <xdr:spPr>
        <a:xfrm rot="16200000" flipH="1">
          <a:off x="15073313" y="80164781"/>
          <a:ext cx="273844" cy="250032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0.86603</cdr:x>
      <cdr:y>0.07634</cdr:y>
    </cdr:from>
    <cdr:to>
      <cdr:x>0.91938</cdr:x>
      <cdr:y>0.15868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9321262" y="303308"/>
          <a:ext cx="574219" cy="32714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LSC</a:t>
          </a:r>
        </a:p>
      </cdr:txBody>
    </cdr:sp>
  </cdr:relSizeAnchor>
  <cdr:relSizeAnchor xmlns:cdr="http://schemas.openxmlformats.org/drawingml/2006/chartDrawing">
    <cdr:from>
      <cdr:x>0.57076</cdr:x>
      <cdr:y>0.57677</cdr:y>
    </cdr:from>
    <cdr:to>
      <cdr:x>0.62411</cdr:x>
      <cdr:y>0.65911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6141899" y="2291573"/>
          <a:ext cx="574092" cy="32714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LSC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0.85054</cdr:x>
      <cdr:y>0.07634</cdr:y>
    </cdr:from>
    <cdr:to>
      <cdr:x>0.90389</cdr:x>
      <cdr:y>0.15868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9154559" y="303306"/>
          <a:ext cx="574196" cy="3271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LSC</a:t>
          </a:r>
        </a:p>
      </cdr:txBody>
    </cdr:sp>
  </cdr:relSizeAnchor>
  <cdr:relSizeAnchor xmlns:cdr="http://schemas.openxmlformats.org/drawingml/2006/chartDrawing">
    <cdr:from>
      <cdr:x>0.20627</cdr:x>
      <cdr:y>0.37111</cdr:y>
    </cdr:from>
    <cdr:to>
      <cdr:x>0.25962</cdr:x>
      <cdr:y>0.45345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2222975" y="1474451"/>
          <a:ext cx="574945" cy="32714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LSC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0.65806</cdr:x>
      <cdr:y>0.42695</cdr:y>
    </cdr:from>
    <cdr:to>
      <cdr:x>0.71141</cdr:x>
      <cdr:y>0.50929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082886" y="1696339"/>
          <a:ext cx="574219" cy="32714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LSC</a:t>
          </a:r>
        </a:p>
      </cdr:txBody>
    </cdr:sp>
  </cdr:relSizeAnchor>
  <cdr:relSizeAnchor xmlns:cdr="http://schemas.openxmlformats.org/drawingml/2006/chartDrawing">
    <cdr:from>
      <cdr:x>0.45915</cdr:x>
      <cdr:y>0.07743</cdr:y>
    </cdr:from>
    <cdr:to>
      <cdr:x>0.51338</cdr:x>
      <cdr:y>0.15977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4941901" y="307652"/>
          <a:ext cx="583750" cy="3271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SSC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0.58655</cdr:x>
      <cdr:y>0.25236</cdr:y>
    </cdr:from>
    <cdr:to>
      <cdr:x>0.61918</cdr:x>
      <cdr:y>0.37162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7421364" y="933349"/>
          <a:ext cx="412856" cy="4410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LSC</a:t>
          </a:r>
        </a:p>
      </cdr:txBody>
    </cdr:sp>
  </cdr:relSizeAnchor>
  <cdr:relSizeAnchor xmlns:cdr="http://schemas.openxmlformats.org/drawingml/2006/chartDrawing">
    <cdr:from>
      <cdr:x>0.4177</cdr:x>
      <cdr:y>0.23401</cdr:y>
    </cdr:from>
    <cdr:to>
      <cdr:x>0.45033</cdr:x>
      <cdr:y>0.35327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5285057" y="865474"/>
          <a:ext cx="412856" cy="4410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LSC</a:t>
          </a:r>
        </a:p>
      </cdr:txBody>
    </cdr:sp>
  </cdr:relSizeAnchor>
  <cdr:relSizeAnchor xmlns:cdr="http://schemas.openxmlformats.org/drawingml/2006/chartDrawing">
    <cdr:from>
      <cdr:x>0.88489</cdr:x>
      <cdr:y>0.03247</cdr:y>
    </cdr:from>
    <cdr:to>
      <cdr:x>0.98468</cdr:x>
      <cdr:y>0.12383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1242928" y="115547"/>
          <a:ext cx="1267874" cy="325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grCO</a:t>
          </a:r>
          <a:r>
            <a:rPr lang="en-GB" sz="1100" baseline="-25000"/>
            <a:t>2</a:t>
          </a:r>
          <a:r>
            <a:rPr lang="en-GB" sz="1100"/>
            <a:t>absorbed L</a:t>
          </a:r>
          <a:r>
            <a:rPr lang="en-GB" sz="1100" baseline="30000"/>
            <a:t>-1</a:t>
          </a:r>
        </a:p>
      </cdr:txBody>
    </cdr:sp>
  </cdr:relSizeAnchor>
  <cdr:relSizeAnchor xmlns:cdr="http://schemas.openxmlformats.org/drawingml/2006/chartDrawing">
    <cdr:from>
      <cdr:x>0.78433</cdr:x>
      <cdr:y>0.04807</cdr:y>
    </cdr:from>
    <cdr:to>
      <cdr:x>0.86998</cdr:x>
      <cdr:y>0.10531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9923780" y="177800"/>
          <a:ext cx="1083733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recirc ptfe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0.81684</cdr:x>
      <cdr:y>0.05834</cdr:y>
    </cdr:from>
    <cdr:to>
      <cdr:x>0.97664</cdr:x>
      <cdr:y>0.15402</cdr:y>
    </cdr:to>
    <cdr:sp macro="" textlink="">
      <cdr:nvSpPr>
        <cdr:cNvPr id="2" name="TextBox 13"/>
        <cdr:cNvSpPr txBox="1"/>
      </cdr:nvSpPr>
      <cdr:spPr>
        <a:xfrm xmlns:a="http://schemas.openxmlformats.org/drawingml/2006/main">
          <a:off x="6978984" y="261353"/>
          <a:ext cx="1365250" cy="428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gCO</a:t>
          </a:r>
          <a:r>
            <a:rPr lang="en-GB" sz="1100" baseline="-25000"/>
            <a:t>2</a:t>
          </a:r>
          <a:r>
            <a:rPr lang="en-GB" sz="1100"/>
            <a:t>absorbed L</a:t>
          </a:r>
          <a:r>
            <a:rPr lang="en-GB" sz="1100" baseline="30000"/>
            <a:t>-1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0.78392</cdr:x>
      <cdr:y>0.05675</cdr:y>
    </cdr:from>
    <cdr:to>
      <cdr:x>0.94372</cdr:x>
      <cdr:y>0.15243</cdr:y>
    </cdr:to>
    <cdr:sp macro="" textlink="">
      <cdr:nvSpPr>
        <cdr:cNvPr id="2" name="TextBox 13"/>
        <cdr:cNvSpPr txBox="1"/>
      </cdr:nvSpPr>
      <cdr:spPr>
        <a:xfrm xmlns:a="http://schemas.openxmlformats.org/drawingml/2006/main">
          <a:off x="6648849" y="254438"/>
          <a:ext cx="1355352" cy="4289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gCO</a:t>
          </a:r>
          <a:r>
            <a:rPr lang="en-GB" sz="1100" baseline="-25000"/>
            <a:t>2</a:t>
          </a:r>
          <a:r>
            <a:rPr lang="en-GB" sz="1100"/>
            <a:t>absorbed L</a:t>
          </a:r>
          <a:r>
            <a:rPr lang="en-GB" sz="1100" baseline="30000"/>
            <a:t>-1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182E4E-EBDC-45AF-94D3-30C0A6D2693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2075B5-9239-46FB-BD91-1E52F450C6B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136</xdr:row>
      <xdr:rowOff>0</xdr:rowOff>
    </xdr:from>
    <xdr:to>
      <xdr:col>20</xdr:col>
      <xdr:colOff>392906</xdr:colOff>
      <xdr:row>150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572823</xdr:colOff>
      <xdr:row>58</xdr:row>
      <xdr:rowOff>137584</xdr:rowOff>
    </xdr:from>
    <xdr:to>
      <xdr:col>21</xdr:col>
      <xdr:colOff>551245</xdr:colOff>
      <xdr:row>69</xdr:row>
      <xdr:rowOff>58436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05729" y="11186584"/>
          <a:ext cx="6098235" cy="2016352"/>
        </a:xfrm>
        <a:prstGeom prst="rect">
          <a:avLst/>
        </a:prstGeom>
      </xdr:spPr>
    </xdr:pic>
    <xdr:clientData/>
  </xdr:twoCellAnchor>
  <xdr:twoCellAnchor editAs="oneCell">
    <xdr:from>
      <xdr:col>11</xdr:col>
      <xdr:colOff>370417</xdr:colOff>
      <xdr:row>44</xdr:row>
      <xdr:rowOff>136350</xdr:rowOff>
    </xdr:from>
    <xdr:to>
      <xdr:col>16</xdr:col>
      <xdr:colOff>283134</xdr:colOff>
      <xdr:row>58</xdr:row>
      <xdr:rowOff>53945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14000" y="3946350"/>
          <a:ext cx="3257486" cy="2584595"/>
        </a:xfrm>
        <a:prstGeom prst="rect">
          <a:avLst/>
        </a:prstGeom>
      </xdr:spPr>
    </xdr:pic>
    <xdr:clientData/>
  </xdr:twoCellAnchor>
  <xdr:twoCellAnchor editAs="oneCell">
    <xdr:from>
      <xdr:col>17</xdr:col>
      <xdr:colOff>551392</xdr:colOff>
      <xdr:row>44</xdr:row>
      <xdr:rowOff>148828</xdr:rowOff>
    </xdr:from>
    <xdr:to>
      <xdr:col>21</xdr:col>
      <xdr:colOff>514691</xdr:colOff>
      <xdr:row>58</xdr:row>
      <xdr:rowOff>22318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41861" y="8006953"/>
          <a:ext cx="3237518" cy="2379518"/>
        </a:xfrm>
        <a:prstGeom prst="rect">
          <a:avLst/>
        </a:prstGeom>
      </xdr:spPr>
    </xdr:pic>
    <xdr:clientData/>
  </xdr:twoCellAnchor>
  <xdr:twoCellAnchor editAs="oneCell">
    <xdr:from>
      <xdr:col>12</xdr:col>
      <xdr:colOff>103927</xdr:colOff>
      <xdr:row>73</xdr:row>
      <xdr:rowOff>86572</xdr:rowOff>
    </xdr:from>
    <xdr:to>
      <xdr:col>18</xdr:col>
      <xdr:colOff>364042</xdr:colOff>
      <xdr:row>76</xdr:row>
      <xdr:rowOff>53763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618" t="47420" r="40534" b="47078"/>
        <a:stretch/>
      </xdr:blipFill>
      <xdr:spPr>
        <a:xfrm>
          <a:off x="15492755" y="13123916"/>
          <a:ext cx="4477666" cy="493447"/>
        </a:xfrm>
        <a:prstGeom prst="rect">
          <a:avLst/>
        </a:prstGeom>
      </xdr:spPr>
    </xdr:pic>
    <xdr:clientData/>
  </xdr:twoCellAnchor>
  <xdr:twoCellAnchor>
    <xdr:from>
      <xdr:col>15</xdr:col>
      <xdr:colOff>423333</xdr:colOff>
      <xdr:row>73</xdr:row>
      <xdr:rowOff>84667</xdr:rowOff>
    </xdr:from>
    <xdr:to>
      <xdr:col>18</xdr:col>
      <xdr:colOff>455083</xdr:colOff>
      <xdr:row>76</xdr:row>
      <xdr:rowOff>105833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3028083" y="9419167"/>
          <a:ext cx="1873250" cy="59266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20</xdr:col>
      <xdr:colOff>63501</xdr:colOff>
      <xdr:row>73</xdr:row>
      <xdr:rowOff>10583</xdr:rowOff>
    </xdr:from>
    <xdr:to>
      <xdr:col>24</xdr:col>
      <xdr:colOff>361164</xdr:colOff>
      <xdr:row>77</xdr:row>
      <xdr:rowOff>129963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2664" t="49511" r="34119" b="41247"/>
        <a:stretch/>
      </xdr:blipFill>
      <xdr:spPr>
        <a:xfrm>
          <a:off x="15737418" y="9345083"/>
          <a:ext cx="3714750" cy="889000"/>
        </a:xfrm>
        <a:prstGeom prst="rect">
          <a:avLst/>
        </a:prstGeom>
      </xdr:spPr>
    </xdr:pic>
    <xdr:clientData/>
  </xdr:twoCellAnchor>
  <xdr:twoCellAnchor>
    <xdr:from>
      <xdr:col>20</xdr:col>
      <xdr:colOff>247649</xdr:colOff>
      <xdr:row>74</xdr:row>
      <xdr:rowOff>14817</xdr:rowOff>
    </xdr:from>
    <xdr:to>
      <xdr:col>23</xdr:col>
      <xdr:colOff>279399</xdr:colOff>
      <xdr:row>77</xdr:row>
      <xdr:rowOff>35983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5921566" y="9539817"/>
          <a:ext cx="1873250" cy="59266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396410</xdr:colOff>
      <xdr:row>94</xdr:row>
      <xdr:rowOff>38420</xdr:rowOff>
    </xdr:from>
    <xdr:to>
      <xdr:col>2</xdr:col>
      <xdr:colOff>598817</xdr:colOff>
      <xdr:row>95</xdr:row>
      <xdr:rowOff>26514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62767" y="17945420"/>
          <a:ext cx="202407" cy="178594"/>
        </a:xfrm>
        <a:prstGeom prst="ellipse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270361</xdr:colOff>
      <xdr:row>142</xdr:row>
      <xdr:rowOff>45244</xdr:rowOff>
    </xdr:from>
    <xdr:to>
      <xdr:col>1</xdr:col>
      <xdr:colOff>506386</xdr:colOff>
      <xdr:row>143</xdr:row>
      <xdr:rowOff>33338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175361" y="27096244"/>
          <a:ext cx="236025" cy="178594"/>
        </a:xfrm>
        <a:prstGeom prst="ellipse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45</xdr:col>
      <xdr:colOff>52728</xdr:colOff>
      <xdr:row>138</xdr:row>
      <xdr:rowOff>93550</xdr:rowOff>
    </xdr:from>
    <xdr:to>
      <xdr:col>54</xdr:col>
      <xdr:colOff>324687</xdr:colOff>
      <xdr:row>154</xdr:row>
      <xdr:rowOff>60212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0510" t="37381" r="33622" b="31179"/>
        <a:stretch/>
      </xdr:blipFill>
      <xdr:spPr>
        <a:xfrm>
          <a:off x="35580978" y="26382550"/>
          <a:ext cx="5775231" cy="3024187"/>
        </a:xfrm>
        <a:prstGeom prst="rect">
          <a:avLst/>
        </a:prstGeom>
      </xdr:spPr>
    </xdr:pic>
    <xdr:clientData/>
  </xdr:twoCellAnchor>
  <xdr:twoCellAnchor>
    <xdr:from>
      <xdr:col>48</xdr:col>
      <xdr:colOff>340179</xdr:colOff>
      <xdr:row>141</xdr:row>
      <xdr:rowOff>10205</xdr:rowOff>
    </xdr:from>
    <xdr:to>
      <xdr:col>51</xdr:col>
      <xdr:colOff>173491</xdr:colOff>
      <xdr:row>146</xdr:row>
      <xdr:rowOff>141174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37705393" y="26870705"/>
          <a:ext cx="1670277" cy="108346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41</xdr:col>
      <xdr:colOff>413315</xdr:colOff>
      <xdr:row>132</xdr:row>
      <xdr:rowOff>95250</xdr:rowOff>
    </xdr:from>
    <xdr:to>
      <xdr:col>44</xdr:col>
      <xdr:colOff>612321</xdr:colOff>
      <xdr:row>165</xdr:row>
      <xdr:rowOff>54432</xdr:rowOff>
    </xdr:to>
    <xdr:cxnSp macro="">
      <xdr:nvCxnSpPr>
        <xdr:cNvPr id="17" name="Elbow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 rot="16200000" flipH="1">
          <a:off x="31278566" y="27346106"/>
          <a:ext cx="6245682" cy="203597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47</xdr:col>
      <xdr:colOff>393111</xdr:colOff>
      <xdr:row>163</xdr:row>
      <xdr:rowOff>153285</xdr:rowOff>
    </xdr:from>
    <xdr:to>
      <xdr:col>57</xdr:col>
      <xdr:colOff>286160</xdr:colOff>
      <xdr:row>177</xdr:row>
      <xdr:rowOff>135663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0659" t="33791" r="32209" b="38606"/>
        <a:stretch/>
      </xdr:blipFill>
      <xdr:spPr>
        <a:xfrm>
          <a:off x="45613049" y="29264066"/>
          <a:ext cx="5951901" cy="2486501"/>
        </a:xfrm>
        <a:prstGeom prst="rect">
          <a:avLst/>
        </a:prstGeom>
      </xdr:spPr>
    </xdr:pic>
    <xdr:clientData/>
  </xdr:twoCellAnchor>
  <xdr:twoCellAnchor>
    <xdr:from>
      <xdr:col>51</xdr:col>
      <xdr:colOff>449036</xdr:colOff>
      <xdr:row>168</xdr:row>
      <xdr:rowOff>113960</xdr:rowOff>
    </xdr:from>
    <xdr:to>
      <xdr:col>54</xdr:col>
      <xdr:colOff>281058</xdr:colOff>
      <xdr:row>174</xdr:row>
      <xdr:rowOff>58238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8097849" y="30117710"/>
          <a:ext cx="1653678" cy="1015841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42</xdr:col>
      <xdr:colOff>517071</xdr:colOff>
      <xdr:row>131</xdr:row>
      <xdr:rowOff>108857</xdr:rowOff>
    </xdr:from>
    <xdr:to>
      <xdr:col>45</xdr:col>
      <xdr:colOff>68036</xdr:colOff>
      <xdr:row>139</xdr:row>
      <xdr:rowOff>13607</xdr:rowOff>
    </xdr:to>
    <xdr:cxnSp macro="">
      <xdr:nvCxnSpPr>
        <xdr:cNvPr id="35" name="Elbow Connector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CxnSpPr/>
      </xdr:nvCxnSpPr>
      <xdr:spPr>
        <a:xfrm>
          <a:off x="34099500" y="25064357"/>
          <a:ext cx="1496786" cy="142875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44</xdr:col>
      <xdr:colOff>654844</xdr:colOff>
      <xdr:row>183</xdr:row>
      <xdr:rowOff>59531</xdr:rowOff>
    </xdr:from>
    <xdr:to>
      <xdr:col>55</xdr:col>
      <xdr:colOff>190500</xdr:colOff>
      <xdr:row>195</xdr:row>
      <xdr:rowOff>134303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0436" t="31563" r="29976" b="44052"/>
        <a:stretch/>
      </xdr:blipFill>
      <xdr:spPr>
        <a:xfrm>
          <a:off x="35730657" y="34921031"/>
          <a:ext cx="6334125" cy="2345532"/>
        </a:xfrm>
        <a:prstGeom prst="rect">
          <a:avLst/>
        </a:prstGeom>
      </xdr:spPr>
    </xdr:pic>
    <xdr:clientData/>
  </xdr:twoCellAnchor>
  <xdr:twoCellAnchor editAs="oneCell">
    <xdr:from>
      <xdr:col>45</xdr:col>
      <xdr:colOff>47625</xdr:colOff>
      <xdr:row>198</xdr:row>
      <xdr:rowOff>119061</xdr:rowOff>
    </xdr:from>
    <xdr:to>
      <xdr:col>54</xdr:col>
      <xdr:colOff>535782</xdr:colOff>
      <xdr:row>211</xdr:row>
      <xdr:rowOff>134302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0733" t="36267" r="32060" b="37988"/>
        <a:stretch/>
      </xdr:blipFill>
      <xdr:spPr>
        <a:xfrm>
          <a:off x="35849719" y="37838061"/>
          <a:ext cx="5953125" cy="2476501"/>
        </a:xfrm>
        <a:prstGeom prst="rect">
          <a:avLst/>
        </a:prstGeom>
      </xdr:spPr>
    </xdr:pic>
    <xdr:clientData/>
  </xdr:twoCellAnchor>
  <xdr:twoCellAnchor>
    <xdr:from>
      <xdr:col>48</xdr:col>
      <xdr:colOff>476250</xdr:colOff>
      <xdr:row>187</xdr:row>
      <xdr:rowOff>173491</xdr:rowOff>
    </xdr:from>
    <xdr:to>
      <xdr:col>51</xdr:col>
      <xdr:colOff>304461</xdr:colOff>
      <xdr:row>193</xdr:row>
      <xdr:rowOff>113960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38100000" y="35796991"/>
          <a:ext cx="1649867" cy="108346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48</xdr:col>
      <xdr:colOff>533400</xdr:colOff>
      <xdr:row>202</xdr:row>
      <xdr:rowOff>135391</xdr:rowOff>
    </xdr:from>
    <xdr:to>
      <xdr:col>51</xdr:col>
      <xdr:colOff>361611</xdr:colOff>
      <xdr:row>208</xdr:row>
      <xdr:rowOff>75860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38157150" y="38616391"/>
          <a:ext cx="1649867" cy="108346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45</xdr:col>
      <xdr:colOff>95249</xdr:colOff>
      <xdr:row>215</xdr:row>
      <xdr:rowOff>83343</xdr:rowOff>
    </xdr:from>
    <xdr:to>
      <xdr:col>54</xdr:col>
      <xdr:colOff>130969</xdr:colOff>
      <xdr:row>226</xdr:row>
      <xdr:rowOff>174308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1402" t="43074" r="34219" b="34275"/>
        <a:stretch/>
      </xdr:blipFill>
      <xdr:spPr>
        <a:xfrm>
          <a:off x="35897343" y="41040843"/>
          <a:ext cx="5500688" cy="2178845"/>
        </a:xfrm>
        <a:prstGeom prst="rect">
          <a:avLst/>
        </a:prstGeom>
      </xdr:spPr>
    </xdr:pic>
    <xdr:clientData/>
  </xdr:twoCellAnchor>
  <xdr:twoCellAnchor>
    <xdr:from>
      <xdr:col>49</xdr:col>
      <xdr:colOff>30956</xdr:colOff>
      <xdr:row>218</xdr:row>
      <xdr:rowOff>180635</xdr:rowOff>
    </xdr:from>
    <xdr:to>
      <xdr:col>51</xdr:col>
      <xdr:colOff>466386</xdr:colOff>
      <xdr:row>224</xdr:row>
      <xdr:rowOff>121104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38261925" y="41709635"/>
          <a:ext cx="1649867" cy="108346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55</xdr:col>
      <xdr:colOff>273844</xdr:colOff>
      <xdr:row>218</xdr:row>
      <xdr:rowOff>154782</xdr:rowOff>
    </xdr:from>
    <xdr:to>
      <xdr:col>62</xdr:col>
      <xdr:colOff>478631</xdr:colOff>
      <xdr:row>226</xdr:row>
      <xdr:rowOff>174308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9811" t="44313" r="32283" b="39720"/>
        <a:stretch/>
      </xdr:blipFill>
      <xdr:spPr>
        <a:xfrm>
          <a:off x="42148125" y="41683782"/>
          <a:ext cx="4464843" cy="1535906"/>
        </a:xfrm>
        <a:prstGeom prst="rect">
          <a:avLst/>
        </a:prstGeom>
      </xdr:spPr>
    </xdr:pic>
    <xdr:clientData/>
  </xdr:twoCellAnchor>
  <xdr:twoCellAnchor>
    <xdr:from>
      <xdr:col>57</xdr:col>
      <xdr:colOff>290512</xdr:colOff>
      <xdr:row>219</xdr:row>
      <xdr:rowOff>142535</xdr:rowOff>
    </xdr:from>
    <xdr:to>
      <xdr:col>60</xdr:col>
      <xdr:colOff>118723</xdr:colOff>
      <xdr:row>225</xdr:row>
      <xdr:rowOff>83004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43379231" y="41862035"/>
          <a:ext cx="1649867" cy="108346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202407</xdr:colOff>
      <xdr:row>356</xdr:row>
      <xdr:rowOff>15478</xdr:rowOff>
    </xdr:from>
    <xdr:to>
      <xdr:col>13</xdr:col>
      <xdr:colOff>392907</xdr:colOff>
      <xdr:row>370</xdr:row>
      <xdr:rowOff>91678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408214</xdr:colOff>
      <xdr:row>153</xdr:row>
      <xdr:rowOff>176894</xdr:rowOff>
    </xdr:from>
    <xdr:to>
      <xdr:col>21</xdr:col>
      <xdr:colOff>122464</xdr:colOff>
      <xdr:row>185</xdr:row>
      <xdr:rowOff>95250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251</xdr:row>
      <xdr:rowOff>0</xdr:rowOff>
    </xdr:from>
    <xdr:to>
      <xdr:col>20</xdr:col>
      <xdr:colOff>857250</xdr:colOff>
      <xdr:row>284</xdr:row>
      <xdr:rowOff>133350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883369</xdr:colOff>
      <xdr:row>258</xdr:row>
      <xdr:rowOff>138114</xdr:rowOff>
    </xdr:from>
    <xdr:to>
      <xdr:col>19</xdr:col>
      <xdr:colOff>204183</xdr:colOff>
      <xdr:row>258</xdr:row>
      <xdr:rowOff>148697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CxnSpPr/>
      </xdr:nvCxnSpPr>
      <xdr:spPr>
        <a:xfrm>
          <a:off x="12803226" y="49287114"/>
          <a:ext cx="7199350" cy="1058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1180109</xdr:colOff>
      <xdr:row>256</xdr:row>
      <xdr:rowOff>110557</xdr:rowOff>
    </xdr:from>
    <xdr:to>
      <xdr:col>11</xdr:col>
      <xdr:colOff>137772</xdr:colOff>
      <xdr:row>258</xdr:row>
      <xdr:rowOff>42212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3099966" y="48878557"/>
          <a:ext cx="1461377" cy="3126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Saturation line</a:t>
          </a:r>
        </a:p>
      </xdr:txBody>
    </xdr:sp>
    <xdr:clientData/>
  </xdr:twoCellAnchor>
  <xdr:twoCellAnchor>
    <xdr:from>
      <xdr:col>16</xdr:col>
      <xdr:colOff>627723</xdr:colOff>
      <xdr:row>255</xdr:row>
      <xdr:rowOff>173739</xdr:rowOff>
    </xdr:from>
    <xdr:to>
      <xdr:col>17</xdr:col>
      <xdr:colOff>408214</xdr:colOff>
      <xdr:row>257</xdr:row>
      <xdr:rowOff>130443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18385044" y="48751239"/>
          <a:ext cx="596920" cy="3377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SSC</a:t>
          </a:r>
        </a:p>
      </xdr:txBody>
    </xdr:sp>
    <xdr:clientData/>
  </xdr:twoCellAnchor>
  <xdr:twoCellAnchor>
    <xdr:from>
      <xdr:col>18</xdr:col>
      <xdr:colOff>237073</xdr:colOff>
      <xdr:row>259</xdr:row>
      <xdr:rowOff>186356</xdr:rowOff>
    </xdr:from>
    <xdr:to>
      <xdr:col>19</xdr:col>
      <xdr:colOff>157411</xdr:colOff>
      <xdr:row>261</xdr:row>
      <xdr:rowOff>143060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19423144" y="49525856"/>
          <a:ext cx="641517" cy="3377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LSC</a:t>
          </a:r>
        </a:p>
      </xdr:txBody>
    </xdr:sp>
    <xdr:clientData/>
  </xdr:twoCellAnchor>
  <xdr:twoCellAnchor>
    <xdr:from>
      <xdr:col>2</xdr:col>
      <xdr:colOff>1605643</xdr:colOff>
      <xdr:row>287</xdr:row>
      <xdr:rowOff>54428</xdr:rowOff>
    </xdr:from>
    <xdr:to>
      <xdr:col>15</xdr:col>
      <xdr:colOff>612321</xdr:colOff>
      <xdr:row>308</xdr:row>
      <xdr:rowOff>81642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517073</xdr:colOff>
      <xdr:row>294</xdr:row>
      <xdr:rowOff>108857</xdr:rowOff>
    </xdr:from>
    <xdr:to>
      <xdr:col>10</xdr:col>
      <xdr:colOff>408214</xdr:colOff>
      <xdr:row>296</xdr:row>
      <xdr:rowOff>108857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13716002" y="56115857"/>
          <a:ext cx="503462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500"/>
            <a:t>LSC</a:t>
          </a:r>
        </a:p>
      </xdr:txBody>
    </xdr:sp>
    <xdr:clientData/>
  </xdr:twoCellAnchor>
  <xdr:twoCellAnchor>
    <xdr:from>
      <xdr:col>9</xdr:col>
      <xdr:colOff>517070</xdr:colOff>
      <xdr:row>297</xdr:row>
      <xdr:rowOff>95250</xdr:rowOff>
    </xdr:from>
    <xdr:to>
      <xdr:col>10</xdr:col>
      <xdr:colOff>136071</xdr:colOff>
      <xdr:row>300</xdr:row>
      <xdr:rowOff>40821</xdr:rowOff>
    </xdr:to>
    <xdr:sp macro="" textlink="">
      <xdr:nvSpPr>
        <xdr:cNvPr id="29" name="Down Arrow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3715999" y="56673750"/>
          <a:ext cx="231322" cy="51707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1104899</xdr:colOff>
      <xdr:row>296</xdr:row>
      <xdr:rowOff>2721</xdr:rowOff>
    </xdr:from>
    <xdr:to>
      <xdr:col>7</xdr:col>
      <xdr:colOff>1336221</xdr:colOff>
      <xdr:row>298</xdr:row>
      <xdr:rowOff>138792</xdr:rowOff>
    </xdr:to>
    <xdr:sp macro="" textlink="">
      <xdr:nvSpPr>
        <xdr:cNvPr id="38" name="Down Arrow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11677649" y="56390721"/>
          <a:ext cx="231322" cy="51707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1077687</xdr:colOff>
      <xdr:row>293</xdr:row>
      <xdr:rowOff>70757</xdr:rowOff>
    </xdr:from>
    <xdr:to>
      <xdr:col>8</xdr:col>
      <xdr:colOff>234042</xdr:colOff>
      <xdr:row>295</xdr:row>
      <xdr:rowOff>70757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1650437" y="55887257"/>
          <a:ext cx="503462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500"/>
            <a:t>LSC</a:t>
          </a:r>
        </a:p>
      </xdr:txBody>
    </xdr:sp>
    <xdr:clientData/>
  </xdr:twoCellAnchor>
  <xdr:twoCellAnchor>
    <xdr:from>
      <xdr:col>16</xdr:col>
      <xdr:colOff>0</xdr:colOff>
      <xdr:row>332</xdr:row>
      <xdr:rowOff>0</xdr:rowOff>
    </xdr:from>
    <xdr:to>
      <xdr:col>31</xdr:col>
      <xdr:colOff>1000578</xdr:colOff>
      <xdr:row>353</xdr:row>
      <xdr:rowOff>27214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56</xdr:col>
      <xdr:colOff>396873</xdr:colOff>
      <xdr:row>266</xdr:row>
      <xdr:rowOff>152400</xdr:rowOff>
    </xdr:from>
    <xdr:to>
      <xdr:col>69</xdr:col>
      <xdr:colOff>508000</xdr:colOff>
      <xdr:row>297</xdr:row>
      <xdr:rowOff>31750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68</xdr:col>
      <xdr:colOff>285750</xdr:colOff>
      <xdr:row>268</xdr:row>
      <xdr:rowOff>79375</xdr:rowOff>
    </xdr:from>
    <xdr:to>
      <xdr:col>69</xdr:col>
      <xdr:colOff>381000</xdr:colOff>
      <xdr:row>270</xdr:row>
      <xdr:rowOff>127000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58626375" y="51133375"/>
          <a:ext cx="1365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/>
            <a:t>gCO</a:t>
          </a:r>
          <a:r>
            <a:rPr lang="en-GB" sz="1100" baseline="-25000"/>
            <a:t>2</a:t>
          </a:r>
          <a:r>
            <a:rPr lang="en-GB" sz="1100"/>
            <a:t>absorbed L</a:t>
          </a:r>
          <a:r>
            <a:rPr lang="en-GB" sz="1100" baseline="30000"/>
            <a:t>-1</a:t>
          </a:r>
        </a:p>
      </xdr:txBody>
    </xdr:sp>
    <xdr:clientData/>
  </xdr:twoCellAnchor>
  <xdr:twoCellAnchor>
    <xdr:from>
      <xdr:col>32</xdr:col>
      <xdr:colOff>936624</xdr:colOff>
      <xdr:row>334</xdr:row>
      <xdr:rowOff>168274</xdr:rowOff>
    </xdr:from>
    <xdr:to>
      <xdr:col>41</xdr:col>
      <xdr:colOff>396875</xdr:colOff>
      <xdr:row>353</xdr:row>
      <xdr:rowOff>174625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57</xdr:col>
      <xdr:colOff>111063</xdr:colOff>
      <xdr:row>302</xdr:row>
      <xdr:rowOff>57151</xdr:rowOff>
    </xdr:from>
    <xdr:to>
      <xdr:col>69</xdr:col>
      <xdr:colOff>215532</xdr:colOff>
      <xdr:row>331</xdr:row>
      <xdr:rowOff>107540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absoluteAnchor>
    <xdr:pos x="3542110" y="12174140"/>
    <xdr:ext cx="11606389" cy="7584722"/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BE773DBB-DEB3-43C1-909D-A79C80F7819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0.11228</cdr:x>
      <cdr:y>0.23699</cdr:y>
    </cdr:from>
    <cdr:to>
      <cdr:x>0.11228</cdr:x>
      <cdr:y>0.39517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03E5C029-7F97-4559-979D-C68F11686E13}"/>
            </a:ext>
          </a:extLst>
        </cdr:cNvPr>
        <cdr:cNvCxnSpPr/>
      </cdr:nvCxnSpPr>
      <cdr:spPr>
        <a:xfrm xmlns:a="http://schemas.openxmlformats.org/drawingml/2006/main">
          <a:off x="1905057" y="650113"/>
          <a:ext cx="0" cy="4339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0.09941</cdr:x>
      <cdr:y>0.13537</cdr:y>
    </cdr:from>
    <cdr:to>
      <cdr:x>0.12797</cdr:x>
      <cdr:y>0.25462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947664" y="371352"/>
          <a:ext cx="559565" cy="3271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5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LSC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0.85859</cdr:x>
      <cdr:y>0.02819</cdr:y>
    </cdr:from>
    <cdr:to>
      <cdr:x>0.98687</cdr:x>
      <cdr:y>0.07715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96251" y="180975"/>
          <a:ext cx="1209674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500"/>
            <a:t>time</a:t>
          </a:r>
          <a:r>
            <a:rPr lang="en-GB" sz="1500" baseline="0"/>
            <a:t> (hours)</a:t>
          </a:r>
          <a:endParaRPr lang="en-GB" sz="15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0.69279</cdr:x>
      <cdr:y>0.66216</cdr:y>
    </cdr:from>
    <cdr:to>
      <cdr:x>0.72936</cdr:x>
      <cdr:y>0.75</cdr:y>
    </cdr:to>
    <cdr:sp macro="" textlink="">
      <cdr:nvSpPr>
        <cdr:cNvPr id="2" name="Oval 1"/>
        <cdr:cNvSpPr/>
      </cdr:nvSpPr>
      <cdr:spPr>
        <a:xfrm xmlns:a="http://schemas.openxmlformats.org/drawingml/2006/main">
          <a:off x="9021536" y="2667001"/>
          <a:ext cx="476250" cy="353785"/>
        </a:xfrm>
        <a:prstGeom xmlns:a="http://schemas.openxmlformats.org/drawingml/2006/main" prst="ellips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0.53473</cdr:x>
      <cdr:y>0.54977</cdr:y>
    </cdr:from>
    <cdr:to>
      <cdr:x>0.5713</cdr:x>
      <cdr:y>0.63761</cdr:y>
    </cdr:to>
    <cdr:sp macro="" textlink="">
      <cdr:nvSpPr>
        <cdr:cNvPr id="3" name="Oval 2"/>
        <cdr:cNvSpPr/>
      </cdr:nvSpPr>
      <cdr:spPr>
        <a:xfrm xmlns:a="http://schemas.openxmlformats.org/drawingml/2006/main">
          <a:off x="6963229" y="2214336"/>
          <a:ext cx="476250" cy="353785"/>
        </a:xfrm>
        <a:prstGeom xmlns:a="http://schemas.openxmlformats.org/drawingml/2006/main" prst="ellips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0.92415</cdr:x>
      <cdr:y>0.18486</cdr:y>
    </cdr:from>
    <cdr:to>
      <cdr:x>0.9956</cdr:x>
      <cdr:y>0.30739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277973" y="728135"/>
          <a:ext cx="949256" cy="482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00"/>
            <a:t>Gas flow rate (mL min</a:t>
          </a:r>
          <a:r>
            <a:rPr lang="en-GB" sz="1000" baseline="30000"/>
            <a:t>-1</a:t>
          </a:r>
          <a:r>
            <a:rPr lang="en-GB" sz="1000"/>
            <a:t>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olCO2abs@2.3M,65h-%3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Z463"/>
  <sheetViews>
    <sheetView topLeftCell="BX4" zoomScale="40" zoomScaleNormal="40" workbookViewId="0">
      <selection activeCell="CO4" sqref="CO4:CQ4"/>
    </sheetView>
  </sheetViews>
  <sheetFormatPr defaultRowHeight="14.4" x14ac:dyDescent="0.3"/>
  <cols>
    <col min="1" max="1" width="22" bestFit="1" customWidth="1"/>
    <col min="2" max="2" width="13.44140625" bestFit="1" customWidth="1"/>
    <col min="3" max="3" width="41" bestFit="1" customWidth="1"/>
    <col min="4" max="4" width="24.33203125" bestFit="1" customWidth="1"/>
    <col min="5" max="5" width="18.6640625" bestFit="1" customWidth="1"/>
    <col min="6" max="6" width="18.33203125" bestFit="1" customWidth="1"/>
    <col min="7" max="8" width="11.5546875" bestFit="1" customWidth="1"/>
    <col min="9" max="9" width="28.33203125" bestFit="1" customWidth="1"/>
    <col min="10" max="12" width="11.5546875" bestFit="1" customWidth="1"/>
    <col min="13" max="13" width="15.6640625" bestFit="1" customWidth="1"/>
    <col min="14" max="14" width="12" bestFit="1" customWidth="1"/>
    <col min="15" max="15" width="18.6640625" bestFit="1" customWidth="1"/>
    <col min="16" max="16" width="15.44140625" bestFit="1" customWidth="1"/>
    <col min="18" max="18" width="28" bestFit="1" customWidth="1"/>
    <col min="20" max="21" width="15.33203125" bestFit="1" customWidth="1"/>
    <col min="22" max="22" width="18.6640625" bestFit="1" customWidth="1"/>
    <col min="23" max="23" width="12" bestFit="1" customWidth="1"/>
    <col min="27" max="27" width="28" bestFit="1" customWidth="1"/>
    <col min="30" max="30" width="10.33203125" bestFit="1" customWidth="1"/>
    <col min="31" max="31" width="15.44140625" bestFit="1" customWidth="1"/>
    <col min="32" max="32" width="10" bestFit="1" customWidth="1"/>
    <col min="33" max="33" width="11" bestFit="1" customWidth="1"/>
    <col min="34" max="34" width="18.6640625" bestFit="1" customWidth="1"/>
    <col min="36" max="36" width="17" bestFit="1" customWidth="1"/>
    <col min="37" max="37" width="28" bestFit="1" customWidth="1"/>
    <col min="46" max="46" width="17" bestFit="1" customWidth="1"/>
    <col min="47" max="47" width="35" bestFit="1" customWidth="1"/>
    <col min="48" max="49" width="13" bestFit="1" customWidth="1"/>
    <col min="50" max="50" width="20.33203125" bestFit="1" customWidth="1"/>
    <col min="53" max="53" width="11.5546875" bestFit="1" customWidth="1"/>
    <col min="55" max="55" width="10.5546875" bestFit="1" customWidth="1"/>
    <col min="56" max="56" width="8.44140625" bestFit="1" customWidth="1"/>
    <col min="57" max="57" width="20.33203125" bestFit="1" customWidth="1"/>
    <col min="59" max="59" width="11.5546875" bestFit="1" customWidth="1"/>
    <col min="62" max="62" width="10.5546875" bestFit="1" customWidth="1"/>
    <col min="64" max="64" width="20.33203125" bestFit="1" customWidth="1"/>
    <col min="67" max="67" width="11.5546875" bestFit="1" customWidth="1"/>
    <col min="69" max="69" width="10.5546875" bestFit="1" customWidth="1"/>
    <col min="70" max="70" width="13" bestFit="1" customWidth="1"/>
    <col min="71" max="71" width="20.33203125" bestFit="1" customWidth="1"/>
    <col min="74" max="74" width="11.5546875" bestFit="1" customWidth="1"/>
    <col min="75" max="75" width="9.33203125" bestFit="1" customWidth="1"/>
    <col min="76" max="76" width="17" bestFit="1" customWidth="1"/>
    <col min="77" max="77" width="13" bestFit="1" customWidth="1"/>
    <col min="78" max="78" width="20.33203125" bestFit="1" customWidth="1"/>
    <col min="81" max="81" width="17" bestFit="1" customWidth="1"/>
    <col min="83" max="83" width="10.5546875" bestFit="1" customWidth="1"/>
    <col min="84" max="84" width="13" bestFit="1" customWidth="1"/>
    <col min="85" max="85" width="20.33203125" bestFit="1" customWidth="1"/>
    <col min="89" max="89" width="10" bestFit="1" customWidth="1"/>
    <col min="91" max="91" width="11.5546875" bestFit="1" customWidth="1"/>
    <col min="95" max="95" width="18.6640625" bestFit="1" customWidth="1"/>
    <col min="97" max="97" width="9.6640625" bestFit="1" customWidth="1"/>
    <col min="99" max="99" width="18.6640625" bestFit="1" customWidth="1"/>
    <col min="104" max="104" width="10.6640625" bestFit="1" customWidth="1"/>
    <col min="106" max="106" width="20.5546875" bestFit="1" customWidth="1"/>
    <col min="111" max="111" width="11.5546875" bestFit="1" customWidth="1"/>
    <col min="113" max="113" width="11.5546875" bestFit="1" customWidth="1"/>
    <col min="137" max="137" width="15.5546875" bestFit="1" customWidth="1"/>
    <col min="155" max="155" width="19.5546875" bestFit="1" customWidth="1"/>
    <col min="158" max="158" width="24.6640625" bestFit="1" customWidth="1"/>
    <col min="191" max="192" width="12" bestFit="1" customWidth="1"/>
    <col min="195" max="195" width="12.44140625" bestFit="1" customWidth="1"/>
    <col min="208" max="208" width="12" bestFit="1" customWidth="1"/>
  </cols>
  <sheetData>
    <row r="1" spans="1:208" x14ac:dyDescent="0.3">
      <c r="A1" s="1" t="s">
        <v>0</v>
      </c>
      <c r="B1" s="1">
        <v>50</v>
      </c>
      <c r="C1" s="1" t="s">
        <v>1</v>
      </c>
      <c r="G1" s="1" t="s">
        <v>9</v>
      </c>
      <c r="H1" s="1">
        <v>4.55</v>
      </c>
      <c r="I1" s="1" t="s">
        <v>1</v>
      </c>
      <c r="K1" s="1" t="s">
        <v>24</v>
      </c>
      <c r="L1" s="1">
        <v>100</v>
      </c>
      <c r="M1" s="1" t="s">
        <v>5</v>
      </c>
      <c r="P1" s="1" t="s">
        <v>0</v>
      </c>
      <c r="Q1" s="1">
        <v>50</v>
      </c>
      <c r="R1" s="1" t="s">
        <v>1</v>
      </c>
      <c r="V1" s="1" t="s">
        <v>9</v>
      </c>
      <c r="W1" s="1">
        <v>4.55</v>
      </c>
      <c r="X1" s="1" t="s">
        <v>1</v>
      </c>
      <c r="Z1" s="1" t="s">
        <v>24</v>
      </c>
      <c r="AA1" s="1">
        <v>100</v>
      </c>
      <c r="AB1" s="1" t="s">
        <v>5</v>
      </c>
      <c r="AE1" s="1" t="s">
        <v>0</v>
      </c>
      <c r="AF1" s="1">
        <v>50</v>
      </c>
      <c r="AG1" s="1" t="s">
        <v>1</v>
      </c>
      <c r="AK1" s="1" t="s">
        <v>9</v>
      </c>
      <c r="AL1" s="1">
        <v>4.55</v>
      </c>
      <c r="AM1" s="1" t="s">
        <v>1</v>
      </c>
      <c r="AO1" s="1" t="s">
        <v>24</v>
      </c>
      <c r="AP1" s="1">
        <v>100</v>
      </c>
      <c r="AQ1" s="1" t="s">
        <v>5</v>
      </c>
      <c r="AT1" s="1" t="s">
        <v>0</v>
      </c>
      <c r="AU1" s="1">
        <v>60</v>
      </c>
      <c r="AV1" s="1" t="s">
        <v>1</v>
      </c>
      <c r="AZ1" s="1" t="s">
        <v>9</v>
      </c>
      <c r="BA1" s="1">
        <v>4.55</v>
      </c>
      <c r="BB1" s="1" t="s">
        <v>1</v>
      </c>
      <c r="BD1" s="1" t="s">
        <v>24</v>
      </c>
      <c r="BE1" s="1">
        <v>100</v>
      </c>
      <c r="BF1" s="1" t="s">
        <v>5</v>
      </c>
      <c r="BI1" s="1" t="s">
        <v>0</v>
      </c>
      <c r="BJ1" s="1">
        <v>60</v>
      </c>
      <c r="BK1" s="1" t="s">
        <v>1</v>
      </c>
      <c r="BO1" s="1" t="s">
        <v>9</v>
      </c>
      <c r="BP1" s="1">
        <v>4.55</v>
      </c>
      <c r="BQ1" s="1" t="s">
        <v>1</v>
      </c>
      <c r="BS1" s="1" t="s">
        <v>24</v>
      </c>
      <c r="BT1" s="1">
        <v>100</v>
      </c>
      <c r="BU1" s="1" t="s">
        <v>5</v>
      </c>
      <c r="BX1" s="1" t="s">
        <v>0</v>
      </c>
      <c r="BY1" s="1">
        <v>60</v>
      </c>
      <c r="BZ1" s="1" t="s">
        <v>1</v>
      </c>
      <c r="CD1" s="1" t="s">
        <v>9</v>
      </c>
      <c r="CE1" s="1">
        <v>4.55</v>
      </c>
      <c r="CF1" s="1" t="s">
        <v>1</v>
      </c>
      <c r="CH1" s="1" t="s">
        <v>24</v>
      </c>
      <c r="CI1" s="1">
        <v>100</v>
      </c>
      <c r="CJ1" s="1" t="s">
        <v>5</v>
      </c>
      <c r="CO1" s="1" t="s">
        <v>0</v>
      </c>
      <c r="CP1" s="1">
        <v>60</v>
      </c>
      <c r="CQ1" s="1" t="s">
        <v>1</v>
      </c>
      <c r="CU1" s="1" t="s">
        <v>9</v>
      </c>
      <c r="CV1" s="1">
        <v>4.55</v>
      </c>
      <c r="CW1" s="1" t="s">
        <v>1</v>
      </c>
      <c r="CY1" s="1" t="s">
        <v>24</v>
      </c>
      <c r="CZ1" s="1">
        <v>100</v>
      </c>
      <c r="DA1" s="1" t="s">
        <v>5</v>
      </c>
      <c r="DD1" s="1" t="s">
        <v>0</v>
      </c>
      <c r="DE1" s="1">
        <v>60</v>
      </c>
      <c r="DF1" s="1" t="s">
        <v>1</v>
      </c>
      <c r="DJ1" s="1" t="s">
        <v>9</v>
      </c>
      <c r="DK1" s="1">
        <v>4.55</v>
      </c>
      <c r="DL1" s="1" t="s">
        <v>1</v>
      </c>
      <c r="DN1" s="1" t="s">
        <v>24</v>
      </c>
      <c r="DO1" s="1">
        <v>100</v>
      </c>
      <c r="DP1" s="1" t="s">
        <v>5</v>
      </c>
      <c r="DS1" s="1" t="s">
        <v>0</v>
      </c>
      <c r="DT1" s="1">
        <v>60</v>
      </c>
      <c r="DU1" s="1" t="s">
        <v>1</v>
      </c>
      <c r="DY1" s="1" t="s">
        <v>9</v>
      </c>
      <c r="DZ1" s="1">
        <v>4.55</v>
      </c>
      <c r="EA1" s="1" t="s">
        <v>1</v>
      </c>
      <c r="EC1" s="1" t="s">
        <v>24</v>
      </c>
      <c r="ED1" s="1">
        <v>100</v>
      </c>
      <c r="EE1" s="1" t="s">
        <v>5</v>
      </c>
      <c r="EG1" s="1" t="s">
        <v>0</v>
      </c>
      <c r="EH1" s="1">
        <v>60</v>
      </c>
      <c r="EI1" s="1" t="s">
        <v>1</v>
      </c>
      <c r="EM1" s="1" t="s">
        <v>9</v>
      </c>
      <c r="EN1" s="1">
        <v>4.55</v>
      </c>
      <c r="EO1" s="1" t="s">
        <v>1</v>
      </c>
      <c r="EQ1" s="1" t="s">
        <v>24</v>
      </c>
      <c r="ER1" s="1">
        <v>100</v>
      </c>
      <c r="ES1" s="1" t="s">
        <v>5</v>
      </c>
      <c r="EU1" t="s">
        <v>69</v>
      </c>
      <c r="EY1" s="24" t="s">
        <v>71</v>
      </c>
      <c r="EZ1" s="25"/>
      <c r="FA1" s="25"/>
      <c r="FB1" s="1" t="s">
        <v>0</v>
      </c>
      <c r="FC1" s="1">
        <v>60</v>
      </c>
      <c r="FD1" s="1" t="s">
        <v>1</v>
      </c>
      <c r="FH1" s="1" t="s">
        <v>9</v>
      </c>
      <c r="FI1" s="1">
        <v>4.55</v>
      </c>
      <c r="FJ1" s="1" t="s">
        <v>1</v>
      </c>
      <c r="FL1" s="1" t="s">
        <v>24</v>
      </c>
      <c r="FM1" s="1">
        <v>100</v>
      </c>
      <c r="FN1" s="1" t="s">
        <v>5</v>
      </c>
      <c r="FP1" t="s">
        <v>69</v>
      </c>
      <c r="FU1" s="1" t="s">
        <v>0</v>
      </c>
      <c r="FV1" s="1">
        <v>60</v>
      </c>
      <c r="FW1" s="1" t="s">
        <v>1</v>
      </c>
      <c r="GA1" s="1" t="s">
        <v>9</v>
      </c>
      <c r="GB1" s="1">
        <v>4.55</v>
      </c>
      <c r="GC1" s="1" t="s">
        <v>1</v>
      </c>
      <c r="GE1" s="1" t="s">
        <v>24</v>
      </c>
      <c r="GF1" s="1">
        <v>100</v>
      </c>
      <c r="GG1" s="1" t="s">
        <v>5</v>
      </c>
      <c r="GI1" s="1" t="s">
        <v>69</v>
      </c>
      <c r="GL1" s="1" t="s">
        <v>0</v>
      </c>
      <c r="GM1" s="1">
        <v>60</v>
      </c>
      <c r="GN1" s="1" t="s">
        <v>1</v>
      </c>
      <c r="GR1" s="1" t="s">
        <v>9</v>
      </c>
      <c r="GS1" s="1">
        <v>4.55</v>
      </c>
      <c r="GT1" s="1" t="s">
        <v>1</v>
      </c>
      <c r="GV1" s="1" t="s">
        <v>24</v>
      </c>
      <c r="GW1" s="1">
        <v>100</v>
      </c>
      <c r="GX1" s="1" t="s">
        <v>5</v>
      </c>
      <c r="GZ1" t="s">
        <v>69</v>
      </c>
    </row>
    <row r="2" spans="1:208" x14ac:dyDescent="0.3">
      <c r="A2" t="s">
        <v>2</v>
      </c>
      <c r="B2" t="s">
        <v>3</v>
      </c>
      <c r="C2">
        <v>11.87</v>
      </c>
      <c r="D2">
        <v>12.27</v>
      </c>
      <c r="E2">
        <v>12.18</v>
      </c>
      <c r="F2">
        <v>12.15</v>
      </c>
      <c r="P2" t="s">
        <v>2</v>
      </c>
      <c r="Q2" t="s">
        <v>3</v>
      </c>
      <c r="R2">
        <v>11.97</v>
      </c>
      <c r="S2">
        <v>11.97</v>
      </c>
      <c r="T2">
        <v>12.06</v>
      </c>
      <c r="U2">
        <v>12.09</v>
      </c>
      <c r="AE2" t="s">
        <v>2</v>
      </c>
      <c r="AF2" t="s">
        <v>3</v>
      </c>
      <c r="AG2">
        <v>12.04</v>
      </c>
      <c r="AH2">
        <v>12.06</v>
      </c>
      <c r="AI2">
        <v>12.03</v>
      </c>
      <c r="AJ2">
        <v>12.05</v>
      </c>
      <c r="AT2" t="s">
        <v>2</v>
      </c>
      <c r="AU2" t="s">
        <v>3</v>
      </c>
      <c r="AV2">
        <v>10.029999999999999</v>
      </c>
      <c r="AW2">
        <v>10.08</v>
      </c>
      <c r="AX2">
        <v>10</v>
      </c>
      <c r="BI2" t="s">
        <v>2</v>
      </c>
      <c r="BJ2" t="s">
        <v>3</v>
      </c>
      <c r="BK2">
        <v>9.9600000000000009</v>
      </c>
      <c r="BL2">
        <v>10.01</v>
      </c>
      <c r="BM2">
        <v>9.9700000000000006</v>
      </c>
      <c r="BN2">
        <v>9.9600000000000009</v>
      </c>
      <c r="BX2" t="s">
        <v>2</v>
      </c>
      <c r="BY2" t="s">
        <v>3</v>
      </c>
      <c r="BZ2">
        <v>10.1</v>
      </c>
      <c r="CA2">
        <v>10.119999999999999</v>
      </c>
      <c r="CB2">
        <v>10.07</v>
      </c>
      <c r="CC2">
        <v>9.83</v>
      </c>
      <c r="CO2" t="s">
        <v>2</v>
      </c>
      <c r="CP2" t="s">
        <v>3</v>
      </c>
      <c r="CQ2">
        <v>10.02</v>
      </c>
      <c r="CR2">
        <v>9.98</v>
      </c>
      <c r="CS2">
        <v>10.119999999999999</v>
      </c>
      <c r="CT2">
        <v>10.029999999999999</v>
      </c>
      <c r="DD2" t="s">
        <v>2</v>
      </c>
      <c r="DE2" t="s">
        <v>3</v>
      </c>
      <c r="DF2">
        <v>9.99</v>
      </c>
      <c r="DG2">
        <v>10.01</v>
      </c>
      <c r="DH2">
        <v>10.08</v>
      </c>
      <c r="DI2">
        <v>9.9700000000000006</v>
      </c>
      <c r="DS2" t="s">
        <v>2</v>
      </c>
      <c r="DT2" t="s">
        <v>3</v>
      </c>
      <c r="DU2">
        <v>10.029999999999999</v>
      </c>
      <c r="DV2">
        <v>9.9600000000000009</v>
      </c>
      <c r="DW2">
        <v>9.9700000000000006</v>
      </c>
      <c r="DX2">
        <v>9.9499999999999993</v>
      </c>
      <c r="EG2" t="s">
        <v>2</v>
      </c>
      <c r="EH2" t="s">
        <v>3</v>
      </c>
      <c r="EI2">
        <v>10.25</v>
      </c>
      <c r="EJ2">
        <v>10.08</v>
      </c>
      <c r="EK2">
        <v>10.029999999999999</v>
      </c>
      <c r="EL2">
        <v>9.86</v>
      </c>
      <c r="EM2">
        <v>10</v>
      </c>
      <c r="FB2" t="s">
        <v>2</v>
      </c>
      <c r="FC2" t="s">
        <v>3</v>
      </c>
      <c r="FD2">
        <v>4.97</v>
      </c>
      <c r="FE2">
        <v>4.96</v>
      </c>
      <c r="FF2">
        <v>5.03</v>
      </c>
      <c r="FG2">
        <v>5.05</v>
      </c>
      <c r="FU2" t="s">
        <v>2</v>
      </c>
      <c r="FV2" t="s">
        <v>3</v>
      </c>
      <c r="FW2">
        <v>10.029999999999999</v>
      </c>
      <c r="FX2">
        <v>9.92</v>
      </c>
      <c r="FY2">
        <v>10.11</v>
      </c>
      <c r="FZ2">
        <v>9.98</v>
      </c>
      <c r="GA2">
        <v>9.85</v>
      </c>
      <c r="GI2" s="23">
        <v>42408</v>
      </c>
      <c r="GL2" t="s">
        <v>2</v>
      </c>
      <c r="GM2" t="s">
        <v>3</v>
      </c>
      <c r="GN2">
        <v>9.9600000000000009</v>
      </c>
      <c r="GO2">
        <v>10.02</v>
      </c>
      <c r="GP2">
        <v>10.09</v>
      </c>
      <c r="GQ2">
        <v>9.9600000000000009</v>
      </c>
      <c r="GZ2" s="23">
        <v>42409</v>
      </c>
    </row>
    <row r="3" spans="1:208" x14ac:dyDescent="0.3">
      <c r="A3" t="s">
        <v>7</v>
      </c>
      <c r="B3" t="s">
        <v>6</v>
      </c>
      <c r="C3">
        <f>SUM(C2:F2)/4/60</f>
        <v>0.20195833333333332</v>
      </c>
      <c r="P3" t="s">
        <v>7</v>
      </c>
      <c r="Q3" t="s">
        <v>6</v>
      </c>
      <c r="R3">
        <f>SUM(R2:U2)/4/60</f>
        <v>0.20037500000000003</v>
      </c>
      <c r="U3" t="s">
        <v>25</v>
      </c>
      <c r="AE3" t="s">
        <v>7</v>
      </c>
      <c r="AF3" t="s">
        <v>6</v>
      </c>
      <c r="AG3">
        <f>SUM(AG2:AJ2)/4/60</f>
        <v>0.20075000000000004</v>
      </c>
      <c r="AJ3" t="s">
        <v>25</v>
      </c>
      <c r="AT3" t="s">
        <v>7</v>
      </c>
      <c r="AU3" t="s">
        <v>6</v>
      </c>
      <c r="AV3">
        <f>SUM(AV2:AX2)/3/60</f>
        <v>0.16727777777777778</v>
      </c>
      <c r="AY3" t="s">
        <v>25</v>
      </c>
      <c r="BI3" t="s">
        <v>7</v>
      </c>
      <c r="BJ3" t="s">
        <v>6</v>
      </c>
      <c r="BK3">
        <f>SUM(BK2:BN2)/4/60</f>
        <v>0.16624999999999998</v>
      </c>
      <c r="BN3" t="s">
        <v>25</v>
      </c>
      <c r="BX3" t="s">
        <v>7</v>
      </c>
      <c r="BY3" t="s">
        <v>6</v>
      </c>
      <c r="BZ3">
        <f>SUM(BZ2:CC2)/4/60</f>
        <v>0.16716666666666666</v>
      </c>
      <c r="CC3" t="s">
        <v>25</v>
      </c>
      <c r="CO3" t="s">
        <v>7</v>
      </c>
      <c r="CP3" t="s">
        <v>6</v>
      </c>
      <c r="CQ3">
        <f>SUM(CQ2:CT2)/4/60</f>
        <v>0.16729166666666667</v>
      </c>
      <c r="CT3" t="s">
        <v>25</v>
      </c>
      <c r="DD3" t="s">
        <v>7</v>
      </c>
      <c r="DE3" t="s">
        <v>6</v>
      </c>
      <c r="DF3">
        <f>SUM(DF2:DI2)/4/60</f>
        <v>0.166875</v>
      </c>
      <c r="DI3" t="s">
        <v>25</v>
      </c>
      <c r="DS3" t="s">
        <v>7</v>
      </c>
      <c r="DT3" t="s">
        <v>6</v>
      </c>
      <c r="DU3">
        <f>SUM(DU2:DX2)/4/60</f>
        <v>0.16629166666666664</v>
      </c>
      <c r="DX3" t="s">
        <v>25</v>
      </c>
      <c r="EG3" t="s">
        <v>7</v>
      </c>
      <c r="EH3" t="s">
        <v>6</v>
      </c>
      <c r="EI3">
        <f>SUM(EI2:EM2)/5/60</f>
        <v>0.16740000000000002</v>
      </c>
      <c r="EL3" t="s">
        <v>25</v>
      </c>
      <c r="FB3" t="s">
        <v>7</v>
      </c>
      <c r="FC3" t="s">
        <v>6</v>
      </c>
      <c r="FD3">
        <f>SUM(FD2:FG2)/4/60</f>
        <v>8.3375000000000005E-2</v>
      </c>
      <c r="FG3" t="s">
        <v>25</v>
      </c>
      <c r="FU3" t="s">
        <v>7</v>
      </c>
      <c r="FV3" t="s">
        <v>6</v>
      </c>
      <c r="FW3">
        <f>SUM(FW2:GA2)/5/60</f>
        <v>0.1663</v>
      </c>
      <c r="FZ3" t="s">
        <v>25</v>
      </c>
      <c r="GI3" s="1" t="s">
        <v>75</v>
      </c>
      <c r="GL3" t="s">
        <v>7</v>
      </c>
      <c r="GM3" t="s">
        <v>6</v>
      </c>
      <c r="GN3">
        <f>SUM(GN2:GQ2)/4/60</f>
        <v>0.16679166666666667</v>
      </c>
      <c r="GQ3" t="s">
        <v>25</v>
      </c>
    </row>
    <row r="4" spans="1:208" x14ac:dyDescent="0.3">
      <c r="A4" t="s">
        <v>8</v>
      </c>
      <c r="B4" t="s">
        <v>1</v>
      </c>
      <c r="C4">
        <f>C5/C3</f>
        <v>49.515164018980812</v>
      </c>
      <c r="P4" t="s">
        <v>8</v>
      </c>
      <c r="Q4" t="s">
        <v>1</v>
      </c>
      <c r="R4">
        <f>R5/R3</f>
        <v>49.906425452276977</v>
      </c>
      <c r="U4">
        <v>1</v>
      </c>
      <c r="V4" t="s">
        <v>13</v>
      </c>
      <c r="W4">
        <v>14.46</v>
      </c>
      <c r="X4">
        <v>14.46</v>
      </c>
      <c r="Y4">
        <v>14.46</v>
      </c>
      <c r="AE4" t="s">
        <v>8</v>
      </c>
      <c r="AF4" t="s">
        <v>1</v>
      </c>
      <c r="AG4">
        <f>AG5/AG3</f>
        <v>49.813200498131998</v>
      </c>
      <c r="AJ4">
        <v>1</v>
      </c>
      <c r="AK4" t="s">
        <v>13</v>
      </c>
      <c r="AL4">
        <v>20.45</v>
      </c>
      <c r="AM4">
        <v>17.5</v>
      </c>
      <c r="AN4">
        <v>17.100000000000001</v>
      </c>
      <c r="AO4">
        <v>20.77</v>
      </c>
      <c r="AP4">
        <v>18.73</v>
      </c>
      <c r="AT4" t="s">
        <v>8</v>
      </c>
      <c r="AU4" t="s">
        <v>1</v>
      </c>
      <c r="AV4">
        <f>AV5/AV3</f>
        <v>59.780803719694454</v>
      </c>
      <c r="AY4">
        <v>1</v>
      </c>
      <c r="AZ4" t="s">
        <v>13</v>
      </c>
      <c r="BA4">
        <v>15.12</v>
      </c>
      <c r="BB4">
        <v>15.06</v>
      </c>
      <c r="BC4">
        <v>14.39</v>
      </c>
      <c r="BD4">
        <v>14.25</v>
      </c>
      <c r="BI4" t="s">
        <v>8</v>
      </c>
      <c r="BJ4" t="s">
        <v>1</v>
      </c>
      <c r="BK4">
        <f>BK5/BK3</f>
        <v>60.150375939849631</v>
      </c>
      <c r="BN4">
        <v>1</v>
      </c>
      <c r="BO4" t="s">
        <v>13</v>
      </c>
      <c r="BP4">
        <v>10.63</v>
      </c>
      <c r="BQ4">
        <v>10.78</v>
      </c>
      <c r="BR4">
        <v>10.71</v>
      </c>
      <c r="BS4">
        <v>10.86</v>
      </c>
      <c r="BT4">
        <v>10.53</v>
      </c>
      <c r="BX4" t="s">
        <v>8</v>
      </c>
      <c r="BY4" t="s">
        <v>1</v>
      </c>
      <c r="BZ4">
        <f>BZ5/BZ3</f>
        <v>59.82053838484547</v>
      </c>
      <c r="CC4">
        <v>1</v>
      </c>
      <c r="CD4" t="s">
        <v>13</v>
      </c>
      <c r="CE4">
        <v>11.65</v>
      </c>
      <c r="CF4">
        <v>11.78</v>
      </c>
      <c r="CG4">
        <v>11.83</v>
      </c>
      <c r="CH4">
        <v>12.17</v>
      </c>
      <c r="CI4">
        <v>11.85</v>
      </c>
      <c r="CJ4">
        <v>12.09</v>
      </c>
      <c r="CK4">
        <v>11.56</v>
      </c>
      <c r="CL4">
        <v>11.75</v>
      </c>
      <c r="CO4" t="s">
        <v>8</v>
      </c>
      <c r="CP4" t="s">
        <v>1</v>
      </c>
      <c r="CQ4">
        <f>CQ5/CQ3</f>
        <v>59.775840597758403</v>
      </c>
      <c r="CT4">
        <v>1</v>
      </c>
      <c r="CU4" t="s">
        <v>13</v>
      </c>
      <c r="CV4">
        <v>13.47</v>
      </c>
      <c r="CW4">
        <v>12.74</v>
      </c>
      <c r="CX4">
        <v>12.53</v>
      </c>
      <c r="CY4">
        <v>12.56</v>
      </c>
      <c r="CZ4">
        <v>12.62</v>
      </c>
      <c r="DD4" t="s">
        <v>8</v>
      </c>
      <c r="DE4" t="s">
        <v>1</v>
      </c>
      <c r="DF4">
        <f>DF5/DF3</f>
        <v>59.925093632958806</v>
      </c>
      <c r="DI4">
        <v>1</v>
      </c>
      <c r="DJ4" t="s">
        <v>13</v>
      </c>
      <c r="DK4">
        <v>11.31</v>
      </c>
      <c r="DL4">
        <v>11.21</v>
      </c>
      <c r="DM4">
        <v>11.36</v>
      </c>
      <c r="DN4">
        <v>11.35</v>
      </c>
      <c r="DO4">
        <v>11.28</v>
      </c>
      <c r="DS4" t="s">
        <v>8</v>
      </c>
      <c r="DT4" t="s">
        <v>1</v>
      </c>
      <c r="DU4">
        <f>DU5/DU3</f>
        <v>60.135304434978714</v>
      </c>
      <c r="DX4">
        <v>1</v>
      </c>
      <c r="DY4" t="s">
        <v>13</v>
      </c>
      <c r="DZ4">
        <v>10.99</v>
      </c>
      <c r="EA4">
        <v>11.09</v>
      </c>
      <c r="EB4">
        <v>11.2</v>
      </c>
      <c r="EC4">
        <v>11.53</v>
      </c>
      <c r="ED4">
        <v>11.55</v>
      </c>
      <c r="EG4" t="s">
        <v>8</v>
      </c>
      <c r="EH4" t="s">
        <v>1</v>
      </c>
      <c r="EI4">
        <f>EI5/EI3</f>
        <v>59.737156511350051</v>
      </c>
      <c r="EL4">
        <v>1</v>
      </c>
      <c r="EM4" t="s">
        <v>13</v>
      </c>
      <c r="EN4">
        <v>6.92</v>
      </c>
      <c r="EO4">
        <v>6.86</v>
      </c>
      <c r="EP4">
        <f>14.61-6.86</f>
        <v>7.7499999999999991</v>
      </c>
      <c r="EQ4">
        <v>7.9</v>
      </c>
      <c r="ER4">
        <v>7.95</v>
      </c>
      <c r="ES4">
        <v>8.0299999999999994</v>
      </c>
      <c r="ET4">
        <v>8.1199999999999992</v>
      </c>
      <c r="EU4">
        <v>7.95</v>
      </c>
      <c r="EV4">
        <v>8</v>
      </c>
      <c r="FB4" t="s">
        <v>8</v>
      </c>
      <c r="FC4" t="s">
        <v>1</v>
      </c>
      <c r="FD4">
        <f>FD5/FD3</f>
        <v>59.970014992503742</v>
      </c>
      <c r="FG4">
        <v>1</v>
      </c>
      <c r="FH4" t="s">
        <v>13</v>
      </c>
      <c r="FI4">
        <v>6.81</v>
      </c>
      <c r="FJ4">
        <v>6.92</v>
      </c>
      <c r="FK4">
        <v>7.05</v>
      </c>
      <c r="FL4">
        <v>7.09</v>
      </c>
      <c r="FM4">
        <v>7.18</v>
      </c>
      <c r="FN4">
        <v>7.21</v>
      </c>
      <c r="FO4">
        <v>7.2</v>
      </c>
      <c r="FP4">
        <v>7.25</v>
      </c>
      <c r="FQ4">
        <v>7.06</v>
      </c>
      <c r="FR4">
        <v>7.23</v>
      </c>
      <c r="FU4" t="s">
        <v>8</v>
      </c>
      <c r="FV4" t="s">
        <v>1</v>
      </c>
      <c r="FW4">
        <f>FW5/FW3</f>
        <v>60.132291040288635</v>
      </c>
      <c r="FZ4">
        <v>1</v>
      </c>
      <c r="GA4" t="s">
        <v>13</v>
      </c>
      <c r="GB4">
        <v>7.11</v>
      </c>
      <c r="GC4">
        <v>7.38</v>
      </c>
      <c r="GD4">
        <v>7.63</v>
      </c>
      <c r="GE4">
        <v>7.47</v>
      </c>
      <c r="GF4">
        <v>7.5</v>
      </c>
      <c r="GG4">
        <v>7.39</v>
      </c>
      <c r="GH4">
        <v>7.45</v>
      </c>
      <c r="GL4" t="s">
        <v>8</v>
      </c>
      <c r="GM4" t="s">
        <v>1</v>
      </c>
      <c r="GN4">
        <f>GN5/GN3</f>
        <v>59.955033724706468</v>
      </c>
      <c r="GQ4">
        <v>1</v>
      </c>
      <c r="GR4" t="s">
        <v>13</v>
      </c>
      <c r="GS4">
        <v>7.59</v>
      </c>
      <c r="GT4">
        <v>7.56</v>
      </c>
      <c r="GU4">
        <v>7.56</v>
      </c>
      <c r="GV4">
        <v>7.48</v>
      </c>
      <c r="GW4">
        <v>7.45</v>
      </c>
      <c r="GX4">
        <v>7.89</v>
      </c>
      <c r="GY4">
        <v>7.74</v>
      </c>
    </row>
    <row r="5" spans="1:208" x14ac:dyDescent="0.3">
      <c r="A5" t="s">
        <v>4</v>
      </c>
      <c r="B5" t="s">
        <v>5</v>
      </c>
      <c r="C5">
        <v>10</v>
      </c>
      <c r="P5" t="s">
        <v>4</v>
      </c>
      <c r="Q5" t="s">
        <v>5</v>
      </c>
      <c r="R5">
        <v>10</v>
      </c>
      <c r="V5" t="s">
        <v>7</v>
      </c>
      <c r="W5">
        <f>SUM(W4:Y4)/3</f>
        <v>14.46</v>
      </c>
      <c r="AE5" t="s">
        <v>4</v>
      </c>
      <c r="AF5" t="s">
        <v>5</v>
      </c>
      <c r="AG5">
        <v>10</v>
      </c>
      <c r="AK5" t="s">
        <v>7</v>
      </c>
      <c r="AL5">
        <f>SUM(AL4:AP4)/5</f>
        <v>18.910000000000004</v>
      </c>
      <c r="AT5" t="s">
        <v>4</v>
      </c>
      <c r="AU5" t="s">
        <v>5</v>
      </c>
      <c r="AV5">
        <v>10</v>
      </c>
      <c r="AZ5" t="s">
        <v>7</v>
      </c>
      <c r="BA5">
        <f>SUM(BA4:BD4)/4</f>
        <v>14.705</v>
      </c>
      <c r="BI5" t="s">
        <v>4</v>
      </c>
      <c r="BJ5" t="s">
        <v>5</v>
      </c>
      <c r="BK5">
        <v>10</v>
      </c>
      <c r="BO5" t="s">
        <v>7</v>
      </c>
      <c r="BP5">
        <f>SUM(BP4:BT4)/5</f>
        <v>10.702000000000002</v>
      </c>
      <c r="BX5" t="s">
        <v>4</v>
      </c>
      <c r="BY5" t="s">
        <v>5</v>
      </c>
      <c r="BZ5">
        <v>10</v>
      </c>
      <c r="CD5" t="s">
        <v>7</v>
      </c>
      <c r="CE5">
        <f>SUM(CE4:CL4)/8</f>
        <v>11.835000000000001</v>
      </c>
      <c r="CO5" t="s">
        <v>4</v>
      </c>
      <c r="CP5" t="s">
        <v>5</v>
      </c>
      <c r="CQ5">
        <v>10</v>
      </c>
      <c r="CU5" t="s">
        <v>7</v>
      </c>
      <c r="CV5">
        <f>SUM(CV4:CZ4)/5</f>
        <v>12.784000000000001</v>
      </c>
      <c r="DD5" t="s">
        <v>4</v>
      </c>
      <c r="DE5" t="s">
        <v>5</v>
      </c>
      <c r="DF5">
        <v>10</v>
      </c>
      <c r="DJ5" t="s">
        <v>7</v>
      </c>
      <c r="DK5">
        <f>SUM(DK4:DO4)/5</f>
        <v>11.302000000000001</v>
      </c>
      <c r="DS5" t="s">
        <v>4</v>
      </c>
      <c r="DT5" t="s">
        <v>5</v>
      </c>
      <c r="DU5">
        <v>10</v>
      </c>
      <c r="DY5" t="s">
        <v>7</v>
      </c>
      <c r="DZ5">
        <f>SUM(DZ4:ED4)/5</f>
        <v>11.272</v>
      </c>
      <c r="EG5" t="s">
        <v>4</v>
      </c>
      <c r="EH5" t="s">
        <v>5</v>
      </c>
      <c r="EI5">
        <v>10</v>
      </c>
      <c r="EM5" t="s">
        <v>7</v>
      </c>
      <c r="EN5">
        <f>SUM(EN4:EV4)/9</f>
        <v>7.7200000000000006</v>
      </c>
      <c r="FB5" t="s">
        <v>4</v>
      </c>
      <c r="FC5" t="s">
        <v>5</v>
      </c>
      <c r="FD5">
        <v>5</v>
      </c>
      <c r="FH5" t="s">
        <v>7</v>
      </c>
      <c r="FI5">
        <f>SUM(FI4:FR4)/10</f>
        <v>7.1</v>
      </c>
      <c r="FU5" t="s">
        <v>4</v>
      </c>
      <c r="FV5" t="s">
        <v>5</v>
      </c>
      <c r="FW5">
        <v>10</v>
      </c>
      <c r="GA5" t="s">
        <v>7</v>
      </c>
      <c r="GB5">
        <f>SUM(GB4:GH4)/7</f>
        <v>7.4185714285714299</v>
      </c>
      <c r="GL5" t="s">
        <v>4</v>
      </c>
      <c r="GM5" t="s">
        <v>5</v>
      </c>
      <c r="GN5">
        <v>10</v>
      </c>
      <c r="GR5" t="s">
        <v>7</v>
      </c>
      <c r="GS5">
        <f>SUM(GS4:GY4)/7</f>
        <v>7.61</v>
      </c>
    </row>
    <row r="6" spans="1:208" x14ac:dyDescent="0.3">
      <c r="U6">
        <v>10</v>
      </c>
      <c r="V6" t="s">
        <v>13</v>
      </c>
      <c r="W6">
        <v>14.47</v>
      </c>
      <c r="X6">
        <v>14.37</v>
      </c>
      <c r="Y6">
        <v>14.42</v>
      </c>
      <c r="Z6">
        <v>14.36</v>
      </c>
      <c r="AJ6">
        <v>10</v>
      </c>
      <c r="AK6" t="s">
        <v>13</v>
      </c>
      <c r="AL6">
        <v>16.87</v>
      </c>
      <c r="AM6">
        <v>15.44</v>
      </c>
      <c r="AN6">
        <v>14.75</v>
      </c>
      <c r="AO6">
        <v>14.68</v>
      </c>
      <c r="AY6">
        <v>10</v>
      </c>
      <c r="AZ6" t="s">
        <v>13</v>
      </c>
      <c r="BA6">
        <v>13.43</v>
      </c>
      <c r="BB6">
        <v>13.26</v>
      </c>
      <c r="BC6">
        <v>12.9</v>
      </c>
      <c r="BD6">
        <v>12.53</v>
      </c>
      <c r="BN6">
        <v>10</v>
      </c>
      <c r="BO6" t="s">
        <v>13</v>
      </c>
      <c r="BQ6">
        <v>10.88</v>
      </c>
      <c r="BR6">
        <v>10.68</v>
      </c>
      <c r="BS6">
        <v>10.34</v>
      </c>
      <c r="BT6">
        <v>10.07</v>
      </c>
      <c r="CC6">
        <v>10</v>
      </c>
      <c r="CD6" t="s">
        <v>13</v>
      </c>
      <c r="CE6">
        <v>11.02</v>
      </c>
      <c r="CF6">
        <v>10.37</v>
      </c>
      <c r="CG6">
        <v>10.210000000000001</v>
      </c>
      <c r="CH6">
        <v>9.9</v>
      </c>
      <c r="CI6">
        <v>9.8800000000000008</v>
      </c>
      <c r="CJ6">
        <v>9.8000000000000007</v>
      </c>
      <c r="CK6">
        <v>9.4499999999999993</v>
      </c>
      <c r="CL6">
        <v>9.5299999999999994</v>
      </c>
      <c r="CT6">
        <v>10</v>
      </c>
      <c r="CU6" t="s">
        <v>13</v>
      </c>
      <c r="CV6">
        <v>11.43</v>
      </c>
      <c r="CW6">
        <v>10.76</v>
      </c>
      <c r="CX6">
        <v>10.74</v>
      </c>
      <c r="CY6">
        <v>11.35</v>
      </c>
      <c r="CZ6">
        <v>10.37</v>
      </c>
      <c r="DI6">
        <v>10</v>
      </c>
      <c r="DJ6" t="s">
        <v>13</v>
      </c>
      <c r="DK6">
        <v>11.07</v>
      </c>
      <c r="DL6">
        <v>11.21</v>
      </c>
      <c r="DM6">
        <v>10.9</v>
      </c>
      <c r="DN6">
        <v>10.3</v>
      </c>
      <c r="DO6">
        <v>10.29</v>
      </c>
      <c r="DX6">
        <v>10</v>
      </c>
      <c r="DY6" t="s">
        <v>13</v>
      </c>
      <c r="DZ6">
        <v>10.66</v>
      </c>
      <c r="EA6">
        <v>10.53</v>
      </c>
      <c r="EB6">
        <v>10.35</v>
      </c>
      <c r="EC6">
        <v>10.46</v>
      </c>
      <c r="ED6">
        <v>9.9700000000000006</v>
      </c>
      <c r="EL6">
        <v>10</v>
      </c>
      <c r="EM6" t="s">
        <v>13</v>
      </c>
      <c r="EN6">
        <v>7.39</v>
      </c>
      <c r="EO6">
        <v>7.51</v>
      </c>
      <c r="EP6">
        <v>7.53</v>
      </c>
      <c r="EQ6">
        <v>7.4</v>
      </c>
      <c r="ER6">
        <v>7.42</v>
      </c>
      <c r="FG6">
        <v>10</v>
      </c>
      <c r="FH6" t="s">
        <v>13</v>
      </c>
      <c r="FI6">
        <v>6.8</v>
      </c>
      <c r="FJ6">
        <v>6.87</v>
      </c>
      <c r="FK6">
        <v>6.89</v>
      </c>
      <c r="FL6">
        <v>6.71</v>
      </c>
      <c r="FM6">
        <v>6.71</v>
      </c>
      <c r="FZ6">
        <v>10</v>
      </c>
      <c r="GA6" t="s">
        <v>13</v>
      </c>
      <c r="GB6">
        <v>7.43</v>
      </c>
      <c r="GC6">
        <v>7.31</v>
      </c>
      <c r="GD6">
        <v>7.37</v>
      </c>
      <c r="GE6">
        <v>7.41</v>
      </c>
      <c r="GF6">
        <v>7.37</v>
      </c>
      <c r="GQ6">
        <v>10</v>
      </c>
      <c r="GR6" t="s">
        <v>13</v>
      </c>
      <c r="GS6">
        <v>7.84</v>
      </c>
      <c r="GT6">
        <v>7.42</v>
      </c>
      <c r="GU6">
        <v>7.34</v>
      </c>
      <c r="GV6">
        <v>7.17</v>
      </c>
      <c r="GW6">
        <v>7.34</v>
      </c>
      <c r="GX6">
        <v>7.31</v>
      </c>
    </row>
    <row r="7" spans="1:208" x14ac:dyDescent="0.3">
      <c r="A7" t="s">
        <v>16</v>
      </c>
      <c r="B7" s="4">
        <v>5.3900000000000002E-5</v>
      </c>
      <c r="P7" t="s">
        <v>16</v>
      </c>
      <c r="Q7" s="4">
        <v>5.3900000000000002E-5</v>
      </c>
      <c r="V7" t="s">
        <v>7</v>
      </c>
      <c r="W7">
        <f>SUM(W6:Z6)/4</f>
        <v>14.404999999999999</v>
      </c>
      <c r="AE7" t="s">
        <v>16</v>
      </c>
      <c r="AF7" s="4">
        <v>5.3900000000000002E-5</v>
      </c>
      <c r="AK7" t="s">
        <v>7</v>
      </c>
      <c r="AL7">
        <f>SUM(AL6:AO6)/4</f>
        <v>15.435</v>
      </c>
      <c r="AT7" t="s">
        <v>16</v>
      </c>
      <c r="AU7" s="4">
        <v>5.3900000000000002E-5</v>
      </c>
      <c r="AZ7" t="s">
        <v>7</v>
      </c>
      <c r="BA7">
        <f>SUM(BA6:BD6)/4</f>
        <v>13.03</v>
      </c>
      <c r="BI7" t="s">
        <v>16</v>
      </c>
      <c r="BJ7" s="4">
        <v>5.3900000000000002E-5</v>
      </c>
      <c r="BO7" t="s">
        <v>7</v>
      </c>
      <c r="BP7">
        <f>SUM(BQ6:BT6)/4</f>
        <v>10.4925</v>
      </c>
      <c r="BX7" t="s">
        <v>16</v>
      </c>
      <c r="BY7" s="4">
        <v>5.3900000000000002E-5</v>
      </c>
      <c r="CD7" t="s">
        <v>7</v>
      </c>
      <c r="CE7">
        <f>SUM(CE6:CL6)/8</f>
        <v>10.020000000000001</v>
      </c>
      <c r="CO7" t="s">
        <v>16</v>
      </c>
      <c r="CP7" s="4">
        <v>5.3900000000000002E-5</v>
      </c>
      <c r="CU7" t="s">
        <v>7</v>
      </c>
      <c r="CV7">
        <f>SUM(CV6:CZ6)/5</f>
        <v>10.93</v>
      </c>
      <c r="DD7" t="s">
        <v>16</v>
      </c>
      <c r="DE7" s="4">
        <v>5.3900000000000002E-5</v>
      </c>
      <c r="DJ7" t="s">
        <v>7</v>
      </c>
      <c r="DK7">
        <f>SUM(DK6:DO6)/5</f>
        <v>10.754000000000001</v>
      </c>
      <c r="DS7" t="s">
        <v>16</v>
      </c>
      <c r="DT7" s="4">
        <v>5.3900000000000002E-5</v>
      </c>
      <c r="DY7" t="s">
        <v>7</v>
      </c>
      <c r="DZ7">
        <f>SUM(DZ6:ED6)/5</f>
        <v>10.394</v>
      </c>
      <c r="EG7" t="s">
        <v>16</v>
      </c>
      <c r="EH7" s="4">
        <v>5.3900000000000002E-5</v>
      </c>
      <c r="EM7" t="s">
        <v>7</v>
      </c>
      <c r="EN7">
        <f>SUM(EN6:ER6)/5</f>
        <v>7.45</v>
      </c>
      <c r="FB7" t="s">
        <v>16</v>
      </c>
      <c r="FC7">
        <v>5.7456600000000001E-5</v>
      </c>
      <c r="FH7" t="s">
        <v>7</v>
      </c>
      <c r="FI7">
        <f>SUM(FI6:FM6)/5</f>
        <v>6.7959999999999994</v>
      </c>
      <c r="FU7" t="s">
        <v>16</v>
      </c>
      <c r="FV7" s="4">
        <v>5.3900000000000002E-5</v>
      </c>
      <c r="GA7" t="s">
        <v>7</v>
      </c>
      <c r="GB7">
        <f>SUM(GB6:GF6)/5</f>
        <v>7.3780000000000001</v>
      </c>
      <c r="GL7" t="s">
        <v>16</v>
      </c>
      <c r="GM7" s="4">
        <v>5.3900000000000002E-5</v>
      </c>
      <c r="GR7" t="s">
        <v>7</v>
      </c>
      <c r="GS7">
        <f>SUM(GS6:GX6)/6</f>
        <v>7.4033333333333333</v>
      </c>
    </row>
    <row r="8" spans="1:208" x14ac:dyDescent="0.3">
      <c r="A8" t="s">
        <v>17</v>
      </c>
      <c r="B8" s="4">
        <v>7.5833300000000004E-8</v>
      </c>
      <c r="P8" t="s">
        <v>17</v>
      </c>
      <c r="Q8" s="4">
        <v>7.5833300000000004E-8</v>
      </c>
      <c r="U8">
        <v>20</v>
      </c>
      <c r="V8" t="s">
        <v>13</v>
      </c>
      <c r="W8">
        <v>14.03</v>
      </c>
      <c r="X8">
        <v>14.08</v>
      </c>
      <c r="Y8">
        <v>13.97</v>
      </c>
      <c r="Z8">
        <v>14.11</v>
      </c>
      <c r="AE8" t="s">
        <v>17</v>
      </c>
      <c r="AF8" s="4">
        <v>7.5833300000000004E-8</v>
      </c>
      <c r="AJ8">
        <v>20</v>
      </c>
      <c r="AK8" t="s">
        <v>13</v>
      </c>
      <c r="AL8">
        <v>13.23</v>
      </c>
      <c r="AM8">
        <v>12.39</v>
      </c>
      <c r="AN8">
        <v>14.25</v>
      </c>
      <c r="AO8">
        <v>13.41</v>
      </c>
      <c r="AT8" t="s">
        <v>17</v>
      </c>
      <c r="AU8" s="4">
        <v>7.5833300000000004E-8</v>
      </c>
      <c r="AY8">
        <v>20</v>
      </c>
      <c r="AZ8" t="s">
        <v>13</v>
      </c>
      <c r="BA8">
        <v>10.25</v>
      </c>
      <c r="BB8">
        <v>10.17</v>
      </c>
      <c r="BC8">
        <v>10.31</v>
      </c>
      <c r="BD8">
        <v>10.15</v>
      </c>
      <c r="BI8" t="s">
        <v>17</v>
      </c>
      <c r="BJ8" s="4">
        <v>7.5833300000000004E-8</v>
      </c>
      <c r="BN8">
        <v>20</v>
      </c>
      <c r="BO8" t="s">
        <v>13</v>
      </c>
      <c r="BP8">
        <v>9.2899999999999991</v>
      </c>
      <c r="BQ8">
        <v>9.3000000000000007</v>
      </c>
      <c r="BR8">
        <v>9.3000000000000007</v>
      </c>
      <c r="BS8">
        <v>9.16</v>
      </c>
      <c r="BT8">
        <v>9.18</v>
      </c>
      <c r="BX8" t="s">
        <v>17</v>
      </c>
      <c r="BY8" s="4">
        <v>7.5833300000000004E-8</v>
      </c>
      <c r="CC8">
        <v>20</v>
      </c>
      <c r="CD8" t="s">
        <v>13</v>
      </c>
      <c r="CE8">
        <v>9.19</v>
      </c>
      <c r="CF8">
        <v>9.1199999999999992</v>
      </c>
      <c r="CG8">
        <v>9.17</v>
      </c>
      <c r="CH8">
        <v>9.15</v>
      </c>
      <c r="CI8">
        <v>9.02</v>
      </c>
      <c r="CO8" t="s">
        <v>17</v>
      </c>
      <c r="CP8" s="4">
        <v>7.5833300000000004E-8</v>
      </c>
      <c r="CT8">
        <v>30</v>
      </c>
      <c r="CU8" t="s">
        <v>13</v>
      </c>
      <c r="CV8">
        <v>8.75</v>
      </c>
      <c r="CW8">
        <v>8.64</v>
      </c>
      <c r="CX8">
        <v>8.66</v>
      </c>
      <c r="CY8">
        <v>8.39</v>
      </c>
      <c r="CZ8">
        <v>8.6999999999999993</v>
      </c>
      <c r="DD8" t="s">
        <v>17</v>
      </c>
      <c r="DE8" s="4">
        <v>7.5833300000000004E-8</v>
      </c>
      <c r="DI8">
        <v>20</v>
      </c>
      <c r="DJ8" t="s">
        <v>13</v>
      </c>
      <c r="DK8">
        <v>9.3000000000000007</v>
      </c>
      <c r="DL8">
        <v>9.0299999999999994</v>
      </c>
      <c r="DM8">
        <v>8.93</v>
      </c>
      <c r="DN8">
        <v>8.84</v>
      </c>
      <c r="DO8">
        <v>8.84</v>
      </c>
      <c r="DS8" t="s">
        <v>17</v>
      </c>
      <c r="DT8" s="4">
        <v>7.5833300000000004E-8</v>
      </c>
      <c r="DX8">
        <v>20</v>
      </c>
      <c r="DY8" t="s">
        <v>13</v>
      </c>
      <c r="DZ8">
        <v>9.2100000000000009</v>
      </c>
      <c r="EA8">
        <v>9.2799999999999994</v>
      </c>
      <c r="EB8">
        <v>9.09</v>
      </c>
      <c r="EC8">
        <v>9.06</v>
      </c>
      <c r="ED8">
        <v>9.1199999999999992</v>
      </c>
      <c r="EG8" t="s">
        <v>17</v>
      </c>
      <c r="EH8" s="4">
        <v>7.5833300000000004E-8</v>
      </c>
      <c r="EL8">
        <v>20</v>
      </c>
      <c r="EM8" t="s">
        <v>13</v>
      </c>
      <c r="EN8">
        <v>7.12</v>
      </c>
      <c r="EO8">
        <v>7.02</v>
      </c>
      <c r="EP8">
        <v>7.06</v>
      </c>
      <c r="EQ8">
        <v>7.13</v>
      </c>
      <c r="ER8">
        <v>7.12</v>
      </c>
      <c r="FB8" t="s">
        <v>17</v>
      </c>
      <c r="FC8" s="4">
        <f>4.55*1.6666666666667*10^-8</f>
        <v>7.5833333333334853E-8</v>
      </c>
      <c r="FG8">
        <v>20</v>
      </c>
      <c r="FH8" t="s">
        <v>13</v>
      </c>
      <c r="FI8">
        <v>6.75</v>
      </c>
      <c r="FJ8">
        <v>6.6</v>
      </c>
      <c r="FK8">
        <v>6.75</v>
      </c>
      <c r="FL8">
        <v>6.75</v>
      </c>
      <c r="FM8">
        <v>6.6</v>
      </c>
      <c r="FU8" t="s">
        <v>17</v>
      </c>
      <c r="FV8" s="4">
        <v>7.5833300000000004E-8</v>
      </c>
      <c r="FZ8">
        <v>20</v>
      </c>
      <c r="GA8" t="s">
        <v>13</v>
      </c>
      <c r="GB8">
        <v>7.01</v>
      </c>
      <c r="GC8">
        <v>7.12</v>
      </c>
      <c r="GD8">
        <v>7.05</v>
      </c>
      <c r="GE8">
        <v>7.03</v>
      </c>
      <c r="GF8">
        <v>7.09</v>
      </c>
      <c r="GL8" t="s">
        <v>17</v>
      </c>
      <c r="GM8" s="4">
        <v>7.5833300000000004E-8</v>
      </c>
      <c r="GQ8">
        <v>20</v>
      </c>
      <c r="GR8" t="s">
        <v>13</v>
      </c>
      <c r="GS8">
        <v>7.06</v>
      </c>
      <c r="GT8">
        <v>7.14</v>
      </c>
      <c r="GU8">
        <v>6.98</v>
      </c>
      <c r="GV8">
        <v>7.06</v>
      </c>
      <c r="GW8">
        <v>7.09</v>
      </c>
    </row>
    <row r="9" spans="1:208" x14ac:dyDescent="0.3">
      <c r="A9" t="s">
        <v>18</v>
      </c>
      <c r="B9" s="4">
        <v>1.41E-3</v>
      </c>
      <c r="P9" t="s">
        <v>18</v>
      </c>
      <c r="Q9" s="4">
        <v>1.41E-3</v>
      </c>
      <c r="V9" t="s">
        <v>7</v>
      </c>
      <c r="W9">
        <f>SUM(W8:Z8)/4</f>
        <v>14.047499999999999</v>
      </c>
      <c r="AE9" t="s">
        <v>18</v>
      </c>
      <c r="AF9" s="4">
        <v>1.41E-3</v>
      </c>
      <c r="AK9" t="s">
        <v>7</v>
      </c>
      <c r="AL9">
        <f>SUM(AL8:AO8)/4</f>
        <v>13.32</v>
      </c>
      <c r="AT9" t="s">
        <v>18</v>
      </c>
      <c r="AU9" s="4">
        <v>1.41E-3</v>
      </c>
      <c r="AZ9" t="s">
        <v>7</v>
      </c>
      <c r="BA9">
        <f>SUM(BA8:BD8)/4</f>
        <v>10.220000000000001</v>
      </c>
      <c r="BI9" t="s">
        <v>18</v>
      </c>
      <c r="BJ9" s="4">
        <v>1.41E-3</v>
      </c>
      <c r="BO9" t="s">
        <v>7</v>
      </c>
      <c r="BP9">
        <f>SUM(BP8:BT8)/5</f>
        <v>9.2459999999999987</v>
      </c>
      <c r="BX9" t="s">
        <v>18</v>
      </c>
      <c r="BY9" s="4">
        <v>1.41E-3</v>
      </c>
      <c r="CD9" t="s">
        <v>7</v>
      </c>
      <c r="CE9">
        <f>SUM(CE8:CI8)/5</f>
        <v>9.129999999999999</v>
      </c>
      <c r="CO9" t="s">
        <v>18</v>
      </c>
      <c r="CP9" s="4">
        <v>1.41E-3</v>
      </c>
      <c r="CU9" t="s">
        <v>7</v>
      </c>
      <c r="CV9">
        <f>SUM(CV8:CZ8)/5</f>
        <v>8.6280000000000001</v>
      </c>
      <c r="DD9" t="s">
        <v>18</v>
      </c>
      <c r="DE9" s="4">
        <v>1.41E-3</v>
      </c>
      <c r="DJ9" t="s">
        <v>7</v>
      </c>
      <c r="DK9">
        <f>SUM(DK8:DO8)/5</f>
        <v>8.9879999999999995</v>
      </c>
      <c r="DS9" t="s">
        <v>18</v>
      </c>
      <c r="DT9" s="4">
        <v>1.41E-3</v>
      </c>
      <c r="DY9" t="s">
        <v>7</v>
      </c>
      <c r="DZ9">
        <f>SUM(DZ8:ED8)/5</f>
        <v>9.1519999999999992</v>
      </c>
      <c r="EG9" t="s">
        <v>18</v>
      </c>
      <c r="EH9" s="4">
        <v>1.41E-3</v>
      </c>
      <c r="EM9" t="s">
        <v>7</v>
      </c>
      <c r="EN9">
        <f>SUM(EN8:ER8)/5</f>
        <v>7.089999999999999</v>
      </c>
      <c r="FB9" t="s">
        <v>18</v>
      </c>
      <c r="FC9" s="4">
        <f>FC8/FC23</f>
        <v>1.3198367695501448E-3</v>
      </c>
      <c r="FH9" t="s">
        <v>7</v>
      </c>
      <c r="FI9">
        <f>SUM(FI8:FM8)/5</f>
        <v>6.69</v>
      </c>
      <c r="FU9" t="s">
        <v>18</v>
      </c>
      <c r="FV9" s="4">
        <v>1.41E-3</v>
      </c>
      <c r="GA9" t="s">
        <v>7</v>
      </c>
      <c r="GB9">
        <f>SUM(GB8:GF8)/5</f>
        <v>7.06</v>
      </c>
      <c r="GL9" t="s">
        <v>18</v>
      </c>
      <c r="GM9" s="4">
        <v>1.41E-3</v>
      </c>
      <c r="GR9" t="s">
        <v>7</v>
      </c>
      <c r="GS9">
        <f>SUM(GS8:GW8)/5</f>
        <v>7.0659999999999998</v>
      </c>
    </row>
    <row r="10" spans="1:208" x14ac:dyDescent="0.3">
      <c r="A10" t="s">
        <v>19</v>
      </c>
      <c r="B10">
        <v>0.14000000000000001</v>
      </c>
      <c r="P10" t="s">
        <v>19</v>
      </c>
      <c r="Q10">
        <v>0.14000000000000001</v>
      </c>
      <c r="U10">
        <v>30</v>
      </c>
      <c r="V10" t="s">
        <v>13</v>
      </c>
      <c r="W10">
        <v>13.85</v>
      </c>
      <c r="X10">
        <v>13.81</v>
      </c>
      <c r="Y10">
        <v>13.79</v>
      </c>
      <c r="AE10" t="s">
        <v>19</v>
      </c>
      <c r="AF10">
        <v>0.14000000000000001</v>
      </c>
      <c r="AJ10">
        <v>30</v>
      </c>
      <c r="AK10" t="s">
        <v>13</v>
      </c>
      <c r="AL10">
        <v>9.1999999999999993</v>
      </c>
      <c r="AM10">
        <v>12.4</v>
      </c>
      <c r="AN10">
        <v>11.55</v>
      </c>
      <c r="AO10">
        <v>11.45</v>
      </c>
      <c r="AT10" t="s">
        <v>19</v>
      </c>
      <c r="AU10">
        <v>0.14000000000000001</v>
      </c>
      <c r="AY10">
        <v>40</v>
      </c>
      <c r="AZ10" t="s">
        <v>13</v>
      </c>
      <c r="BA10">
        <v>8.08</v>
      </c>
      <c r="BB10">
        <v>8.3699999999999992</v>
      </c>
      <c r="BC10">
        <v>7.98</v>
      </c>
      <c r="BD10">
        <v>8.1999999999999993</v>
      </c>
      <c r="BI10" t="s">
        <v>19</v>
      </c>
      <c r="BJ10">
        <v>0.14000000000000001</v>
      </c>
      <c r="BN10">
        <v>30</v>
      </c>
      <c r="BO10" t="s">
        <v>13</v>
      </c>
      <c r="BP10">
        <v>8.44</v>
      </c>
      <c r="BQ10">
        <v>8.4499999999999993</v>
      </c>
      <c r="BR10">
        <v>8.35</v>
      </c>
      <c r="BS10">
        <v>8.18</v>
      </c>
      <c r="BT10">
        <v>8.3000000000000007</v>
      </c>
      <c r="BX10" t="s">
        <v>19</v>
      </c>
      <c r="BY10">
        <v>0.14000000000000001</v>
      </c>
      <c r="CC10">
        <v>40</v>
      </c>
      <c r="CD10" t="s">
        <v>13</v>
      </c>
      <c r="CE10">
        <v>7.93</v>
      </c>
      <c r="CF10">
        <v>7.79</v>
      </c>
      <c r="CG10">
        <v>7.74</v>
      </c>
      <c r="CH10">
        <v>7.78</v>
      </c>
      <c r="CI10">
        <v>7.61</v>
      </c>
      <c r="CO10" t="s">
        <v>19</v>
      </c>
      <c r="CP10">
        <v>0.14000000000000001</v>
      </c>
      <c r="CT10">
        <v>50</v>
      </c>
      <c r="CU10" t="s">
        <v>13</v>
      </c>
      <c r="CV10">
        <v>7.37</v>
      </c>
      <c r="CW10">
        <v>7.56</v>
      </c>
      <c r="CX10">
        <v>7.64</v>
      </c>
      <c r="CY10">
        <v>7.39</v>
      </c>
      <c r="CZ10">
        <v>7.33</v>
      </c>
      <c r="DD10" t="s">
        <v>19</v>
      </c>
      <c r="DE10">
        <v>0.14000000000000001</v>
      </c>
      <c r="DI10">
        <v>40</v>
      </c>
      <c r="DJ10" t="s">
        <v>13</v>
      </c>
      <c r="DK10">
        <v>7.65</v>
      </c>
      <c r="DL10">
        <v>7.67</v>
      </c>
      <c r="DM10">
        <v>7.7</v>
      </c>
      <c r="DN10">
        <v>7.6</v>
      </c>
      <c r="DO10">
        <v>7.68</v>
      </c>
      <c r="DS10" t="s">
        <v>19</v>
      </c>
      <c r="DT10">
        <v>0.14000000000000001</v>
      </c>
      <c r="DX10">
        <v>40</v>
      </c>
      <c r="DY10" t="s">
        <v>13</v>
      </c>
      <c r="DZ10">
        <v>7.62</v>
      </c>
      <c r="EA10">
        <v>7.69</v>
      </c>
      <c r="EB10">
        <v>7.66</v>
      </c>
      <c r="EC10">
        <v>7.61</v>
      </c>
      <c r="ED10">
        <v>7.81</v>
      </c>
      <c r="EG10" t="s">
        <v>19</v>
      </c>
      <c r="EH10">
        <v>0.14000000000000001</v>
      </c>
      <c r="EL10">
        <v>40</v>
      </c>
      <c r="EM10" t="s">
        <v>13</v>
      </c>
      <c r="EN10">
        <v>6.54</v>
      </c>
      <c r="EO10">
        <v>6.63</v>
      </c>
      <c r="EP10">
        <v>6.7</v>
      </c>
      <c r="EQ10">
        <v>6.58</v>
      </c>
      <c r="ER10">
        <v>6.56</v>
      </c>
      <c r="FB10" t="s">
        <v>19</v>
      </c>
      <c r="FC10" s="4">
        <f>FC9*100</f>
        <v>0.13198367695501448</v>
      </c>
      <c r="FG10">
        <v>40</v>
      </c>
      <c r="FH10" t="s">
        <v>13</v>
      </c>
      <c r="FI10">
        <v>6.42</v>
      </c>
      <c r="FJ10">
        <v>6.3</v>
      </c>
      <c r="FK10">
        <v>6.33</v>
      </c>
      <c r="FL10">
        <v>6.37</v>
      </c>
      <c r="FM10">
        <v>6.21</v>
      </c>
      <c r="FU10" t="s">
        <v>19</v>
      </c>
      <c r="FV10">
        <v>0.14000000000000001</v>
      </c>
      <c r="FZ10">
        <v>40</v>
      </c>
      <c r="GA10" t="s">
        <v>13</v>
      </c>
      <c r="GB10">
        <v>6.41</v>
      </c>
      <c r="GC10">
        <v>6.59</v>
      </c>
      <c r="GD10">
        <v>6.65</v>
      </c>
      <c r="GE10">
        <v>6.65</v>
      </c>
      <c r="GF10">
        <v>6.62</v>
      </c>
      <c r="GL10" t="s">
        <v>19</v>
      </c>
      <c r="GM10">
        <v>0.14000000000000001</v>
      </c>
      <c r="GQ10">
        <v>40</v>
      </c>
      <c r="GR10" t="s">
        <v>13</v>
      </c>
      <c r="GS10">
        <v>6.63</v>
      </c>
      <c r="GT10">
        <v>6.54</v>
      </c>
      <c r="GU10">
        <v>6.46</v>
      </c>
      <c r="GV10">
        <v>6.42</v>
      </c>
      <c r="GW10">
        <v>6.47</v>
      </c>
    </row>
    <row r="11" spans="1:208" x14ac:dyDescent="0.3">
      <c r="A11" t="s">
        <v>20</v>
      </c>
      <c r="B11">
        <v>1.4445E-3</v>
      </c>
      <c r="P11" t="s">
        <v>20</v>
      </c>
      <c r="Q11">
        <v>1.4445E-3</v>
      </c>
      <c r="V11" t="s">
        <v>7</v>
      </c>
      <c r="W11">
        <f>SUM(W10:Y10)/3</f>
        <v>13.816666666666668</v>
      </c>
      <c r="AE11" t="s">
        <v>20</v>
      </c>
      <c r="AF11">
        <v>1.4445E-3</v>
      </c>
      <c r="AK11" t="s">
        <v>7</v>
      </c>
      <c r="AL11">
        <f>SUM(AL10:AO10)/4</f>
        <v>11.150000000000002</v>
      </c>
      <c r="AT11" t="s">
        <v>20</v>
      </c>
      <c r="AU11">
        <v>1.4445E-3</v>
      </c>
      <c r="AZ11" t="s">
        <v>7</v>
      </c>
      <c r="BA11">
        <f>SUM(BA10:BD10)/4</f>
        <v>8.1574999999999989</v>
      </c>
      <c r="BI11" t="s">
        <v>20</v>
      </c>
      <c r="BJ11">
        <v>1.4445E-3</v>
      </c>
      <c r="BO11" t="s">
        <v>7</v>
      </c>
      <c r="BP11">
        <f>SUM(BP10:BT10)/5</f>
        <v>8.3439999999999994</v>
      </c>
      <c r="BX11" t="s">
        <v>20</v>
      </c>
      <c r="BY11">
        <v>1.4445E-3</v>
      </c>
      <c r="CD11" t="s">
        <v>7</v>
      </c>
      <c r="CE11">
        <f>SUM(CE10:CI10)/5</f>
        <v>7.7700000000000005</v>
      </c>
      <c r="CO11" t="s">
        <v>20</v>
      </c>
      <c r="CP11">
        <v>1.4445E-3</v>
      </c>
      <c r="CU11" t="s">
        <v>7</v>
      </c>
      <c r="CV11">
        <f>SUM(CV10:CZ10)/5</f>
        <v>7.4580000000000002</v>
      </c>
      <c r="DD11" t="s">
        <v>20</v>
      </c>
      <c r="DE11">
        <v>1.4445E-3</v>
      </c>
      <c r="DJ11" t="s">
        <v>7</v>
      </c>
      <c r="DK11">
        <f>SUM(DK10:DO10)/5</f>
        <v>7.6599999999999993</v>
      </c>
      <c r="DS11" t="s">
        <v>20</v>
      </c>
      <c r="DT11">
        <v>1.4445E-3</v>
      </c>
      <c r="DY11" t="s">
        <v>7</v>
      </c>
      <c r="DZ11">
        <f>SUM(DZ10:ED10)/5</f>
        <v>7.6779999999999999</v>
      </c>
      <c r="EG11" t="s">
        <v>20</v>
      </c>
      <c r="EH11">
        <v>1.4445E-3</v>
      </c>
      <c r="EM11" t="s">
        <v>7</v>
      </c>
      <c r="EN11">
        <f>SUM(EN10:ER10)/5</f>
        <v>6.6020000000000012</v>
      </c>
      <c r="FB11" t="s">
        <v>20</v>
      </c>
      <c r="FC11">
        <v>9.3257999999999991E-4</v>
      </c>
      <c r="FH11" t="s">
        <v>7</v>
      </c>
      <c r="FI11">
        <f>SUM(FI10:FM10)/5</f>
        <v>6.3259999999999996</v>
      </c>
      <c r="FU11" t="s">
        <v>20</v>
      </c>
      <c r="FV11">
        <v>1.4445E-3</v>
      </c>
      <c r="GA11" t="s">
        <v>7</v>
      </c>
      <c r="GB11">
        <f>SUM(GB10:GF10)/5</f>
        <v>6.5839999999999987</v>
      </c>
      <c r="GL11" t="s">
        <v>20</v>
      </c>
      <c r="GM11">
        <v>1.4445E-3</v>
      </c>
      <c r="GR11" t="s">
        <v>7</v>
      </c>
      <c r="GS11">
        <f>SUM(GS10:GW10)/5</f>
        <v>6.5039999999999996</v>
      </c>
    </row>
    <row r="12" spans="1:208" x14ac:dyDescent="0.3">
      <c r="A12" t="s">
        <v>21</v>
      </c>
      <c r="B12">
        <v>293.14999999999998</v>
      </c>
      <c r="P12" t="s">
        <v>21</v>
      </c>
      <c r="Q12">
        <v>293.14999999999998</v>
      </c>
      <c r="U12">
        <v>40</v>
      </c>
      <c r="V12" t="s">
        <v>13</v>
      </c>
      <c r="W12">
        <v>13.63</v>
      </c>
      <c r="X12">
        <v>13.53</v>
      </c>
      <c r="Y12">
        <v>13.64</v>
      </c>
      <c r="Z12">
        <v>13.4</v>
      </c>
      <c r="AA12">
        <v>13.59</v>
      </c>
      <c r="AE12" t="s">
        <v>21</v>
      </c>
      <c r="AF12">
        <v>293.14999999999998</v>
      </c>
      <c r="AJ12">
        <v>40</v>
      </c>
      <c r="AK12" t="s">
        <v>13</v>
      </c>
      <c r="AL12">
        <v>10.37</v>
      </c>
      <c r="AM12">
        <v>10.220000000000001</v>
      </c>
      <c r="AN12">
        <v>9.83</v>
      </c>
      <c r="AO12">
        <v>10.26</v>
      </c>
      <c r="AT12" t="s">
        <v>21</v>
      </c>
      <c r="AU12">
        <v>293.14999999999998</v>
      </c>
      <c r="AY12">
        <v>70</v>
      </c>
      <c r="AZ12" t="s">
        <v>13</v>
      </c>
      <c r="BA12">
        <v>7.01</v>
      </c>
      <c r="BB12">
        <v>6.84</v>
      </c>
      <c r="BC12">
        <v>6.82</v>
      </c>
      <c r="BD12">
        <v>6.92</v>
      </c>
      <c r="BI12" t="s">
        <v>21</v>
      </c>
      <c r="BJ12">
        <v>293.14999999999998</v>
      </c>
      <c r="BN12">
        <v>40</v>
      </c>
      <c r="BO12" t="s">
        <v>13</v>
      </c>
      <c r="BP12">
        <v>7.84</v>
      </c>
      <c r="BQ12">
        <v>7.88</v>
      </c>
      <c r="BR12">
        <v>7.96</v>
      </c>
      <c r="BS12">
        <v>7.78</v>
      </c>
      <c r="BX12" t="s">
        <v>21</v>
      </c>
      <c r="BY12">
        <v>293.14999999999998</v>
      </c>
      <c r="CC12">
        <v>60</v>
      </c>
      <c r="CD12" t="s">
        <v>13</v>
      </c>
      <c r="CE12">
        <v>7.09</v>
      </c>
      <c r="CF12">
        <v>7</v>
      </c>
      <c r="CG12">
        <v>7</v>
      </c>
      <c r="CH12">
        <v>7</v>
      </c>
      <c r="CI12">
        <v>6.85</v>
      </c>
      <c r="CO12" t="s">
        <v>21</v>
      </c>
      <c r="CP12">
        <v>293.14999999999998</v>
      </c>
      <c r="CT12">
        <v>80</v>
      </c>
      <c r="CU12" t="s">
        <v>13</v>
      </c>
      <c r="CV12">
        <v>6.43</v>
      </c>
      <c r="CW12">
        <v>6.5</v>
      </c>
      <c r="CX12">
        <v>6.53</v>
      </c>
      <c r="CY12">
        <v>6.56</v>
      </c>
      <c r="CZ12">
        <v>6.58</v>
      </c>
      <c r="DD12" t="s">
        <v>21</v>
      </c>
      <c r="DE12">
        <v>293.14999999999998</v>
      </c>
      <c r="DI12">
        <v>70</v>
      </c>
      <c r="DJ12" t="s">
        <v>13</v>
      </c>
      <c r="DK12">
        <v>6.73</v>
      </c>
      <c r="DL12">
        <v>6.62</v>
      </c>
      <c r="DM12">
        <v>6.43</v>
      </c>
      <c r="DN12">
        <v>6.53</v>
      </c>
      <c r="DO12">
        <v>6.37</v>
      </c>
      <c r="DS12" t="s">
        <v>21</v>
      </c>
      <c r="DT12">
        <v>293.14999999999998</v>
      </c>
      <c r="DX12">
        <v>70</v>
      </c>
      <c r="DY12" t="s">
        <v>13</v>
      </c>
      <c r="DZ12">
        <v>6.68</v>
      </c>
      <c r="EA12">
        <v>6.47</v>
      </c>
      <c r="EB12">
        <v>6.6</v>
      </c>
      <c r="EC12">
        <v>6.7</v>
      </c>
      <c r="ED12">
        <v>6.71</v>
      </c>
      <c r="EG12" t="s">
        <v>21</v>
      </c>
      <c r="EH12">
        <v>293.14999999999998</v>
      </c>
      <c r="EL12">
        <v>70</v>
      </c>
      <c r="EM12" t="s">
        <v>13</v>
      </c>
      <c r="EN12">
        <v>6.1</v>
      </c>
      <c r="EO12">
        <v>5.98</v>
      </c>
      <c r="EP12">
        <v>6.15</v>
      </c>
      <c r="EQ12">
        <v>6.12</v>
      </c>
      <c r="ER12">
        <v>6.03</v>
      </c>
      <c r="FB12" t="s">
        <v>21</v>
      </c>
      <c r="FC12">
        <v>293.14999999999998</v>
      </c>
      <c r="FG12">
        <v>70</v>
      </c>
      <c r="FH12" t="s">
        <v>13</v>
      </c>
      <c r="FI12">
        <v>6.08</v>
      </c>
      <c r="FJ12">
        <v>6</v>
      </c>
      <c r="FK12">
        <v>5.93</v>
      </c>
      <c r="FL12">
        <v>6.13</v>
      </c>
      <c r="FM12">
        <v>6.05</v>
      </c>
      <c r="FU12" t="s">
        <v>21</v>
      </c>
      <c r="FV12">
        <v>293.14999999999998</v>
      </c>
      <c r="FZ12">
        <v>60</v>
      </c>
      <c r="GA12" t="s">
        <v>13</v>
      </c>
      <c r="GB12">
        <v>6.13</v>
      </c>
      <c r="GC12">
        <v>6.09</v>
      </c>
      <c r="GD12">
        <v>6.25</v>
      </c>
      <c r="GE12">
        <v>6.09</v>
      </c>
      <c r="GF12">
        <v>6.27</v>
      </c>
      <c r="GL12" t="s">
        <v>21</v>
      </c>
      <c r="GM12">
        <v>293.14999999999998</v>
      </c>
      <c r="GQ12">
        <v>60</v>
      </c>
      <c r="GR12" t="s">
        <v>13</v>
      </c>
      <c r="GS12">
        <v>6.34</v>
      </c>
      <c r="GT12">
        <v>6.35</v>
      </c>
      <c r="GU12">
        <v>6.32</v>
      </c>
      <c r="GV12">
        <v>6.26</v>
      </c>
      <c r="GW12">
        <v>6.18</v>
      </c>
    </row>
    <row r="13" spans="1:208" x14ac:dyDescent="0.3">
      <c r="V13" t="s">
        <v>7</v>
      </c>
      <c r="W13">
        <f>SUM(W12:AA12)/5</f>
        <v>13.557999999999998</v>
      </c>
      <c r="AK13" t="s">
        <v>7</v>
      </c>
      <c r="AL13">
        <f>SUM(AL12:AO12)/4</f>
        <v>10.17</v>
      </c>
      <c r="AZ13" t="s">
        <v>7</v>
      </c>
      <c r="BA13">
        <f>SUM(BA12:BD12)/4</f>
        <v>6.8975000000000009</v>
      </c>
      <c r="BO13" t="s">
        <v>7</v>
      </c>
      <c r="BP13">
        <f>SUM(BP12:BS12)/4</f>
        <v>7.8650000000000002</v>
      </c>
      <c r="CD13" t="s">
        <v>7</v>
      </c>
      <c r="CE13">
        <f>SUM(CE12:CI12)/5</f>
        <v>6.9879999999999995</v>
      </c>
      <c r="CU13" t="s">
        <v>7</v>
      </c>
      <c r="CV13">
        <f>SUM(CV12:CZ12)/5</f>
        <v>6.5200000000000005</v>
      </c>
      <c r="DJ13" t="s">
        <v>7</v>
      </c>
      <c r="DK13">
        <f>SUM(DK12:DO12)/5</f>
        <v>6.5359999999999996</v>
      </c>
      <c r="DY13" t="s">
        <v>7</v>
      </c>
      <c r="DZ13">
        <f>SUM(DZ12:ED12)/5</f>
        <v>6.6319999999999997</v>
      </c>
      <c r="EM13" t="s">
        <v>7</v>
      </c>
      <c r="EN13">
        <f>SUM(EN12:ER12)/5</f>
        <v>6.0760000000000005</v>
      </c>
      <c r="FH13" t="s">
        <v>7</v>
      </c>
      <c r="FI13">
        <f>SUM(FI12:FM12)/5</f>
        <v>6.0379999999999994</v>
      </c>
      <c r="GA13" t="s">
        <v>7</v>
      </c>
      <c r="GB13">
        <f>SUM(GB12:GF12)/5</f>
        <v>6.1659999999999995</v>
      </c>
      <c r="GR13" t="s">
        <v>7</v>
      </c>
      <c r="GS13">
        <f>SUM(GS12:GW12)/5</f>
        <v>6.2899999999999991</v>
      </c>
    </row>
    <row r="14" spans="1:208" x14ac:dyDescent="0.3">
      <c r="U14">
        <v>60</v>
      </c>
      <c r="V14" t="s">
        <v>13</v>
      </c>
      <c r="W14">
        <v>13.3</v>
      </c>
      <c r="X14">
        <v>13.3</v>
      </c>
      <c r="Y14">
        <v>13.29</v>
      </c>
      <c r="Z14">
        <v>13.31</v>
      </c>
      <c r="AJ14">
        <v>50</v>
      </c>
      <c r="AK14" t="s">
        <v>13</v>
      </c>
      <c r="AL14">
        <v>9.43</v>
      </c>
      <c r="AM14">
        <v>9.5299999999999994</v>
      </c>
      <c r="AN14">
        <v>9.2899999999999991</v>
      </c>
      <c r="AY14">
        <v>100</v>
      </c>
      <c r="AZ14" t="s">
        <v>13</v>
      </c>
      <c r="BA14">
        <v>6.68</v>
      </c>
      <c r="BB14">
        <v>6.2</v>
      </c>
      <c r="BC14">
        <v>6.32</v>
      </c>
      <c r="BD14">
        <v>6.26</v>
      </c>
      <c r="BN14">
        <v>60</v>
      </c>
      <c r="BO14" t="s">
        <v>13</v>
      </c>
      <c r="BP14">
        <v>7.04</v>
      </c>
      <c r="BQ14">
        <v>7.26</v>
      </c>
      <c r="BR14">
        <v>7.13</v>
      </c>
      <c r="BS14">
        <v>6.99</v>
      </c>
      <c r="CC14">
        <v>90</v>
      </c>
      <c r="CD14" t="s">
        <v>13</v>
      </c>
      <c r="CE14">
        <v>6.62</v>
      </c>
      <c r="CF14">
        <v>6.46</v>
      </c>
      <c r="CG14">
        <v>6.34</v>
      </c>
      <c r="CH14">
        <v>6.46</v>
      </c>
      <c r="CI14">
        <v>6.39</v>
      </c>
      <c r="CT14">
        <v>110</v>
      </c>
      <c r="CU14" t="s">
        <v>13</v>
      </c>
      <c r="CV14">
        <v>5.87</v>
      </c>
      <c r="CW14">
        <v>5.96</v>
      </c>
      <c r="CX14">
        <v>6.06</v>
      </c>
      <c r="CY14">
        <v>5.89</v>
      </c>
      <c r="CZ14">
        <v>5.96</v>
      </c>
      <c r="DI14">
        <v>100</v>
      </c>
      <c r="DJ14" t="s">
        <v>13</v>
      </c>
      <c r="DK14">
        <v>6</v>
      </c>
      <c r="DL14">
        <v>6.18</v>
      </c>
      <c r="DM14">
        <v>6.06</v>
      </c>
      <c r="DN14">
        <v>5.78</v>
      </c>
      <c r="DO14">
        <v>6.08</v>
      </c>
      <c r="DX14">
        <v>100</v>
      </c>
      <c r="DY14" t="s">
        <v>13</v>
      </c>
      <c r="DZ14">
        <v>6.14</v>
      </c>
      <c r="EA14">
        <v>6.09</v>
      </c>
      <c r="EB14">
        <v>6.06</v>
      </c>
      <c r="EC14">
        <v>6.14</v>
      </c>
      <c r="ED14">
        <v>6.16</v>
      </c>
      <c r="EL14">
        <v>100</v>
      </c>
      <c r="EM14" t="s">
        <v>13</v>
      </c>
      <c r="EN14">
        <v>5.76</v>
      </c>
      <c r="EO14">
        <v>5.81</v>
      </c>
      <c r="EP14">
        <v>5.85</v>
      </c>
      <c r="EQ14">
        <v>5.84</v>
      </c>
      <c r="ER14">
        <v>5.74</v>
      </c>
      <c r="FB14" t="s">
        <v>30</v>
      </c>
      <c r="FC14">
        <v>5.0000000000000001E-3</v>
      </c>
      <c r="FD14" t="s">
        <v>31</v>
      </c>
      <c r="FG14">
        <v>100</v>
      </c>
      <c r="FH14" t="s">
        <v>13</v>
      </c>
      <c r="FI14">
        <v>5.77</v>
      </c>
      <c r="FJ14">
        <v>5.81</v>
      </c>
      <c r="FK14">
        <v>5.8</v>
      </c>
      <c r="FL14">
        <v>5.81</v>
      </c>
      <c r="FM14">
        <v>5.92</v>
      </c>
      <c r="FN14">
        <v>5.73</v>
      </c>
      <c r="FZ14">
        <v>90</v>
      </c>
      <c r="GA14" t="s">
        <v>13</v>
      </c>
      <c r="GB14">
        <v>5.9</v>
      </c>
      <c r="GC14">
        <v>5.93</v>
      </c>
      <c r="GD14">
        <v>5.97</v>
      </c>
      <c r="GE14">
        <v>5.79</v>
      </c>
      <c r="GF14">
        <v>5.96</v>
      </c>
      <c r="GQ14">
        <v>90</v>
      </c>
      <c r="GR14" t="s">
        <v>13</v>
      </c>
      <c r="GS14">
        <v>5.94</v>
      </c>
      <c r="GT14">
        <v>5.92</v>
      </c>
      <c r="GU14">
        <v>5.98</v>
      </c>
      <c r="GV14">
        <v>5.95</v>
      </c>
      <c r="GW14">
        <v>5.95</v>
      </c>
    </row>
    <row r="15" spans="1:208" x14ac:dyDescent="0.3">
      <c r="A15" s="5" t="s">
        <v>10</v>
      </c>
      <c r="B15" s="5">
        <v>6.0000000000000001E-3</v>
      </c>
      <c r="C15" s="5" t="s">
        <v>11</v>
      </c>
      <c r="D15" s="6"/>
      <c r="E15" s="6"/>
      <c r="K15" s="2" t="s">
        <v>10</v>
      </c>
      <c r="L15" s="2">
        <v>0.06</v>
      </c>
      <c r="M15" s="5" t="s">
        <v>11</v>
      </c>
      <c r="N15" s="6"/>
      <c r="O15" s="6"/>
      <c r="V15" t="s">
        <v>7</v>
      </c>
      <c r="W15">
        <f>SUM(W14:Z14)/4</f>
        <v>13.3</v>
      </c>
      <c r="AK15" t="s">
        <v>7</v>
      </c>
      <c r="AL15">
        <f>SUM(AL14:AN14)/3</f>
        <v>9.4166666666666661</v>
      </c>
      <c r="AZ15" t="s">
        <v>7</v>
      </c>
      <c r="BA15">
        <f>SUM(BA14:BD14)/4</f>
        <v>6.3650000000000002</v>
      </c>
      <c r="BO15" t="s">
        <v>7</v>
      </c>
      <c r="BP15">
        <f>SUM(BP14:BS14)/4</f>
        <v>7.1050000000000004</v>
      </c>
      <c r="CD15" t="s">
        <v>7</v>
      </c>
      <c r="CE15">
        <f>SUM(CE14:CI14)/5</f>
        <v>6.4540000000000006</v>
      </c>
      <c r="CU15" t="s">
        <v>7</v>
      </c>
      <c r="CV15">
        <f>SUM(CV14:CZ14)/5</f>
        <v>5.9480000000000004</v>
      </c>
      <c r="DJ15" t="s">
        <v>7</v>
      </c>
      <c r="DK15">
        <f>SUM(DK14:DO14)/5</f>
        <v>6.0200000000000005</v>
      </c>
      <c r="DY15" t="s">
        <v>7</v>
      </c>
      <c r="DZ15">
        <f>SUM(DZ14:ED14)/5</f>
        <v>6.1180000000000003</v>
      </c>
      <c r="EM15" t="s">
        <v>7</v>
      </c>
      <c r="EN15">
        <f>SUM(EN14:ER14)/5</f>
        <v>5.8</v>
      </c>
      <c r="FB15" t="s">
        <v>33</v>
      </c>
      <c r="FC15">
        <v>1.2E-2</v>
      </c>
      <c r="FD15" t="s">
        <v>31</v>
      </c>
      <c r="FH15" t="s">
        <v>7</v>
      </c>
      <c r="FI15">
        <f>SUM(FI14:FN14)/6</f>
        <v>5.8066666666666675</v>
      </c>
      <c r="GA15" t="s">
        <v>7</v>
      </c>
      <c r="GB15">
        <f>SUM(GB14:GF14)/5</f>
        <v>5.91</v>
      </c>
      <c r="GR15" t="s">
        <v>7</v>
      </c>
      <c r="GS15">
        <f>SUM(GS14:GW14)/5</f>
        <v>5.9479999999999995</v>
      </c>
    </row>
    <row r="16" spans="1:208" x14ac:dyDescent="0.3">
      <c r="A16" s="6" t="s">
        <v>12</v>
      </c>
      <c r="B16" s="6" t="s">
        <v>14</v>
      </c>
      <c r="C16" s="6"/>
      <c r="D16" s="6" t="s">
        <v>15</v>
      </c>
      <c r="E16" s="6" t="s">
        <v>22</v>
      </c>
      <c r="F16" s="21" t="s">
        <v>2</v>
      </c>
      <c r="G16" s="21" t="s">
        <v>80</v>
      </c>
      <c r="K16" s="3" t="s">
        <v>12</v>
      </c>
      <c r="L16" s="3" t="s">
        <v>14</v>
      </c>
      <c r="M16" s="6"/>
      <c r="N16" s="6" t="s">
        <v>15</v>
      </c>
      <c r="O16" s="6" t="s">
        <v>22</v>
      </c>
      <c r="P16" s="21" t="s">
        <v>2</v>
      </c>
      <c r="Q16" s="21" t="s">
        <v>80</v>
      </c>
      <c r="U16">
        <v>80</v>
      </c>
      <c r="V16" t="s">
        <v>13</v>
      </c>
      <c r="W16">
        <v>12.99</v>
      </c>
      <c r="X16">
        <v>13.1</v>
      </c>
      <c r="Y16">
        <v>13.09</v>
      </c>
      <c r="Z16">
        <v>13.2</v>
      </c>
      <c r="AA16">
        <v>13.14</v>
      </c>
      <c r="AJ16">
        <v>60</v>
      </c>
      <c r="AK16" t="s">
        <v>13</v>
      </c>
      <c r="AL16">
        <v>9.31</v>
      </c>
      <c r="AM16">
        <v>9.7200000000000006</v>
      </c>
      <c r="AN16">
        <v>8.9700000000000006</v>
      </c>
      <c r="AO16">
        <v>8.9499999999999993</v>
      </c>
      <c r="AP16">
        <v>8.73</v>
      </c>
      <c r="AY16">
        <v>130</v>
      </c>
      <c r="AZ16" t="s">
        <v>13</v>
      </c>
      <c r="BA16">
        <v>6.68</v>
      </c>
      <c r="BB16">
        <v>5.96</v>
      </c>
      <c r="BC16">
        <v>5.96</v>
      </c>
      <c r="BD16">
        <v>6.06</v>
      </c>
      <c r="BE16">
        <v>6.04</v>
      </c>
      <c r="BN16">
        <v>80</v>
      </c>
      <c r="BO16" t="s">
        <v>13</v>
      </c>
      <c r="BP16" s="11">
        <v>6.53</v>
      </c>
      <c r="BQ16">
        <v>6.51</v>
      </c>
      <c r="BR16">
        <v>6.51</v>
      </c>
      <c r="BS16">
        <v>6.59</v>
      </c>
      <c r="CC16">
        <v>120</v>
      </c>
      <c r="CD16" t="s">
        <v>13</v>
      </c>
      <c r="CE16" s="11">
        <v>5.79</v>
      </c>
      <c r="CF16">
        <v>5.9</v>
      </c>
      <c r="CG16">
        <v>5.85</v>
      </c>
      <c r="CH16">
        <v>5.93</v>
      </c>
      <c r="CT16">
        <v>140</v>
      </c>
      <c r="CU16" t="s">
        <v>13</v>
      </c>
      <c r="CV16" s="11">
        <v>5.87</v>
      </c>
      <c r="CW16">
        <v>5.52</v>
      </c>
      <c r="CX16">
        <v>5.96</v>
      </c>
      <c r="CY16">
        <v>5.87</v>
      </c>
      <c r="CZ16">
        <v>5.84</v>
      </c>
      <c r="DI16">
        <v>130</v>
      </c>
      <c r="DJ16" t="s">
        <v>13</v>
      </c>
      <c r="DK16" s="11">
        <v>5.38</v>
      </c>
      <c r="DL16">
        <v>5.79</v>
      </c>
      <c r="DM16">
        <v>5.84</v>
      </c>
      <c r="DN16">
        <v>5.88</v>
      </c>
      <c r="DO16">
        <v>5.83</v>
      </c>
      <c r="DP16">
        <v>5.78</v>
      </c>
      <c r="DX16">
        <v>280</v>
      </c>
      <c r="DY16" t="s">
        <v>13</v>
      </c>
      <c r="DZ16">
        <v>5.38</v>
      </c>
      <c r="EA16">
        <v>5.54</v>
      </c>
      <c r="EB16">
        <v>5.62</v>
      </c>
      <c r="EC16">
        <v>5.61</v>
      </c>
      <c r="ED16">
        <v>5.7</v>
      </c>
      <c r="EE16">
        <v>5.59</v>
      </c>
      <c r="EL16">
        <f>180+20</f>
        <v>200</v>
      </c>
      <c r="EM16" t="s">
        <v>13</v>
      </c>
      <c r="EN16">
        <v>5.53</v>
      </c>
      <c r="EO16">
        <v>5.47</v>
      </c>
      <c r="EP16">
        <v>5.46</v>
      </c>
      <c r="EQ16">
        <v>5.45</v>
      </c>
      <c r="ER16">
        <v>5.5</v>
      </c>
      <c r="FB16" t="s">
        <v>34</v>
      </c>
      <c r="FC16">
        <v>0.16500000000000001</v>
      </c>
      <c r="FD16" t="s">
        <v>31</v>
      </c>
      <c r="FG16">
        <v>300</v>
      </c>
      <c r="FH16" t="s">
        <v>13</v>
      </c>
      <c r="FI16">
        <v>5.34</v>
      </c>
      <c r="FJ16">
        <v>5.38</v>
      </c>
      <c r="FK16">
        <v>5.38</v>
      </c>
      <c r="FL16">
        <v>5.46</v>
      </c>
      <c r="FM16">
        <v>5.5</v>
      </c>
      <c r="FN16">
        <v>5.33</v>
      </c>
      <c r="FO16">
        <v>5.33</v>
      </c>
      <c r="FZ16">
        <v>120</v>
      </c>
      <c r="GA16" t="s">
        <v>13</v>
      </c>
      <c r="GB16">
        <v>5.72</v>
      </c>
      <c r="GC16">
        <v>5.65</v>
      </c>
      <c r="GD16">
        <v>5.88</v>
      </c>
      <c r="GE16">
        <v>5.57</v>
      </c>
      <c r="GF16">
        <v>5.59</v>
      </c>
      <c r="GQ16">
        <f>13*60</f>
        <v>780</v>
      </c>
      <c r="GR16" t="s">
        <v>13</v>
      </c>
      <c r="GS16">
        <v>5.18</v>
      </c>
      <c r="GT16">
        <v>5.09</v>
      </c>
      <c r="GU16">
        <v>5.18</v>
      </c>
      <c r="GV16">
        <v>5.24</v>
      </c>
      <c r="GW16">
        <v>5.22</v>
      </c>
      <c r="GX16">
        <v>5.46</v>
      </c>
    </row>
    <row r="17" spans="1:206" x14ac:dyDescent="0.3">
      <c r="A17" s="6" t="s">
        <v>6</v>
      </c>
      <c r="B17" s="6" t="s">
        <v>13</v>
      </c>
      <c r="C17" s="6" t="s">
        <v>6</v>
      </c>
      <c r="D17" s="7" t="s">
        <v>1</v>
      </c>
      <c r="E17" s="6" t="s">
        <v>23</v>
      </c>
      <c r="F17" s="21" t="s">
        <v>79</v>
      </c>
      <c r="G17" s="21" t="s">
        <v>76</v>
      </c>
      <c r="K17" s="3" t="s">
        <v>6</v>
      </c>
      <c r="L17" s="3" t="s">
        <v>13</v>
      </c>
      <c r="M17" s="6" t="s">
        <v>6</v>
      </c>
      <c r="N17" s="7" t="s">
        <v>1</v>
      </c>
      <c r="O17" s="6" t="s">
        <v>23</v>
      </c>
      <c r="P17" s="21" t="s">
        <v>79</v>
      </c>
      <c r="Q17" s="21" t="s">
        <v>76</v>
      </c>
      <c r="V17" t="s">
        <v>7</v>
      </c>
      <c r="W17">
        <f>SUM(W16:AA16)/5</f>
        <v>13.103999999999999</v>
      </c>
      <c r="AK17" t="s">
        <v>7</v>
      </c>
      <c r="AL17">
        <f>SUM(AL16:AP16)/5</f>
        <v>9.136000000000001</v>
      </c>
      <c r="AZ17" t="s">
        <v>7</v>
      </c>
      <c r="BA17">
        <f>SUM(BA16:BE16)/5</f>
        <v>6.14</v>
      </c>
      <c r="BO17" t="s">
        <v>7</v>
      </c>
      <c r="BP17">
        <f>SUM(BP16:BS16)/4</f>
        <v>6.5349999999999993</v>
      </c>
      <c r="CD17" t="s">
        <v>7</v>
      </c>
      <c r="CE17">
        <f>SUM(CE16:CH16)/4</f>
        <v>5.8674999999999997</v>
      </c>
      <c r="CU17" t="s">
        <v>7</v>
      </c>
      <c r="CV17">
        <f>SUM(CV16:CZ16)/5</f>
        <v>5.8120000000000003</v>
      </c>
      <c r="DJ17" t="s">
        <v>7</v>
      </c>
      <c r="DK17">
        <f>SUM(DK16:DP16)/6</f>
        <v>5.75</v>
      </c>
      <c r="DY17" t="s">
        <v>7</v>
      </c>
      <c r="DZ17">
        <f>SUM(DZ16:EE16)/6</f>
        <v>5.5733333333333333</v>
      </c>
      <c r="EM17" t="s">
        <v>7</v>
      </c>
      <c r="EN17">
        <f>SUM(EN16:ER16)/5</f>
        <v>5.4820000000000002</v>
      </c>
      <c r="FB17" t="s">
        <v>36</v>
      </c>
      <c r="FC17">
        <v>0.157</v>
      </c>
      <c r="FD17" t="s">
        <v>31</v>
      </c>
      <c r="FH17" t="s">
        <v>7</v>
      </c>
      <c r="FI17">
        <f>SUM(FI16:FO16)/7</f>
        <v>5.3885714285714288</v>
      </c>
      <c r="GA17" t="s">
        <v>7</v>
      </c>
      <c r="GB17">
        <f>SUM(GB16:GF16)/5</f>
        <v>5.6820000000000004</v>
      </c>
      <c r="GR17" t="s">
        <v>7</v>
      </c>
      <c r="GS17">
        <f>SUM(GS16:GX16)/6</f>
        <v>5.2283333333333326</v>
      </c>
    </row>
    <row r="18" spans="1:206" x14ac:dyDescent="0.3">
      <c r="A18" s="6">
        <v>1</v>
      </c>
      <c r="B18" s="6">
        <v>12.45</v>
      </c>
      <c r="C18" s="6">
        <f>B18/60</f>
        <v>0.20749999999999999</v>
      </c>
      <c r="D18" s="6">
        <f>$C$5/C18</f>
        <v>48.192771084337352</v>
      </c>
      <c r="E18" s="6">
        <f>($C$4-D18)*(10^-3)/60*273.15*1000/(22.4*$B$11*$B$12)</f>
        <v>0.63468029017858363</v>
      </c>
      <c r="F18">
        <f>A18/60</f>
        <v>1.6666666666666666E-2</v>
      </c>
      <c r="G18">
        <f>E18/$E$18</f>
        <v>1</v>
      </c>
      <c r="K18" s="3">
        <v>1</v>
      </c>
      <c r="L18" s="3">
        <v>12.53</v>
      </c>
      <c r="M18" s="6">
        <f>L18/60</f>
        <v>0.20883333333333332</v>
      </c>
      <c r="N18" s="6">
        <f>$C$5/M18</f>
        <v>47.885075818036718</v>
      </c>
      <c r="O18" s="6">
        <f>($C$4-N18)*(10^-3)/60*273.15*1000/(22.4*$B$11*$B$12)</f>
        <v>0.78235812162050367</v>
      </c>
      <c r="P18">
        <f>K18/60</f>
        <v>1.6666666666666666E-2</v>
      </c>
      <c r="Q18">
        <f>O18/$O$18</f>
        <v>1</v>
      </c>
      <c r="U18">
        <v>100</v>
      </c>
      <c r="V18" t="s">
        <v>13</v>
      </c>
      <c r="W18">
        <v>12.98</v>
      </c>
      <c r="X18">
        <v>12.96</v>
      </c>
      <c r="Y18">
        <v>13.03</v>
      </c>
      <c r="Z18">
        <v>12.93</v>
      </c>
      <c r="AJ18">
        <v>80</v>
      </c>
      <c r="AK18" t="s">
        <v>13</v>
      </c>
      <c r="AL18">
        <v>9.3000000000000007</v>
      </c>
      <c r="AM18">
        <v>7.59</v>
      </c>
      <c r="AN18">
        <v>8.7799999999999994</v>
      </c>
      <c r="AO18">
        <v>8.39</v>
      </c>
      <c r="AP18">
        <v>8.09</v>
      </c>
      <c r="AW18">
        <f>10*60</f>
        <v>600</v>
      </c>
      <c r="AY18">
        <f>AW18</f>
        <v>600</v>
      </c>
      <c r="AZ18" t="s">
        <v>13</v>
      </c>
      <c r="BA18">
        <v>5.45</v>
      </c>
      <c r="CC18">
        <v>150</v>
      </c>
      <c r="CD18" t="s">
        <v>13</v>
      </c>
      <c r="CE18" s="11">
        <v>5.88</v>
      </c>
      <c r="CF18">
        <v>5.81</v>
      </c>
      <c r="CG18">
        <v>5.84</v>
      </c>
      <c r="CH18">
        <v>5.84</v>
      </c>
      <c r="CT18">
        <v>180</v>
      </c>
      <c r="CU18" t="s">
        <v>13</v>
      </c>
      <c r="CV18" s="11">
        <v>5.63</v>
      </c>
      <c r="CW18">
        <v>5.69</v>
      </c>
      <c r="CX18">
        <v>5.34</v>
      </c>
      <c r="CY18">
        <v>5.68</v>
      </c>
      <c r="CZ18">
        <v>5.53</v>
      </c>
      <c r="DI18">
        <v>180</v>
      </c>
      <c r="DJ18" t="s">
        <v>13</v>
      </c>
      <c r="DK18" s="11">
        <v>5.84</v>
      </c>
      <c r="DL18">
        <v>5.98</v>
      </c>
      <c r="DM18">
        <v>5.81</v>
      </c>
      <c r="DN18">
        <v>5.61</v>
      </c>
      <c r="DO18">
        <v>5.6</v>
      </c>
      <c r="DX18">
        <f>14*60+DX16</f>
        <v>1120</v>
      </c>
      <c r="DY18" t="s">
        <v>13</v>
      </c>
      <c r="DZ18">
        <v>5.35</v>
      </c>
      <c r="EA18">
        <v>5.35</v>
      </c>
      <c r="EB18">
        <v>5.26</v>
      </c>
      <c r="EC18">
        <v>5.29</v>
      </c>
      <c r="ED18">
        <v>5.34</v>
      </c>
      <c r="EL18">
        <f>19*60+10</f>
        <v>1150</v>
      </c>
      <c r="EM18" t="s">
        <v>13</v>
      </c>
      <c r="EN18">
        <v>5.23</v>
      </c>
      <c r="EO18">
        <v>5.28</v>
      </c>
      <c r="EP18">
        <v>5.33</v>
      </c>
      <c r="EQ18">
        <v>5.15</v>
      </c>
      <c r="ER18">
        <v>5.35</v>
      </c>
      <c r="FB18" t="s">
        <v>37</v>
      </c>
      <c r="FC18">
        <v>4.0000000000000001E-3</v>
      </c>
      <c r="FD18" t="s">
        <v>31</v>
      </c>
      <c r="FZ18">
        <f>FZ16+60*4</f>
        <v>360</v>
      </c>
      <c r="GA18" t="s">
        <v>13</v>
      </c>
      <c r="GB18">
        <v>5.3</v>
      </c>
      <c r="GC18">
        <v>5.21</v>
      </c>
      <c r="GD18">
        <v>5.36</v>
      </c>
      <c r="GE18">
        <v>5.26</v>
      </c>
      <c r="GF18">
        <v>5.29</v>
      </c>
      <c r="GQ18">
        <f>GQ16+60*4</f>
        <v>1020</v>
      </c>
      <c r="GR18" t="s">
        <v>13</v>
      </c>
      <c r="GS18">
        <v>5.19</v>
      </c>
      <c r="GT18">
        <v>5.0999999999999996</v>
      </c>
      <c r="GU18">
        <v>5.09</v>
      </c>
      <c r="GV18">
        <v>5.17</v>
      </c>
      <c r="GW18">
        <v>5.24</v>
      </c>
    </row>
    <row r="19" spans="1:206" x14ac:dyDescent="0.3">
      <c r="A19" s="6">
        <v>10</v>
      </c>
      <c r="B19" s="6">
        <v>12.22</v>
      </c>
      <c r="C19" s="6">
        <f>B19/60</f>
        <v>0.20366666666666669</v>
      </c>
      <c r="D19" s="6">
        <f>$C$5/C19</f>
        <v>49.099836333878883</v>
      </c>
      <c r="E19" s="6">
        <f>($C$4-D19)*(10^-3)/60*273.15*1000/(22.4*$B$11*$B$12)</f>
        <v>0.19933583188022896</v>
      </c>
      <c r="F19">
        <f>A19/60</f>
        <v>0.16666666666666666</v>
      </c>
      <c r="G19">
        <f>E19/$E$18</f>
        <v>0.31407282527103636</v>
      </c>
      <c r="K19" s="3">
        <v>10</v>
      </c>
      <c r="L19" s="3">
        <v>12.4</v>
      </c>
      <c r="M19" s="6">
        <f>L19/60</f>
        <v>0.20666666666666667</v>
      </c>
      <c r="N19" s="6">
        <f>$C$5/M19</f>
        <v>48.387096774193552</v>
      </c>
      <c r="O19" s="6">
        <f>($C$4-N19)*(10^-3)/60*273.15*1000/(22.4*$B$11*$B$12)</f>
        <v>0.54141399844636151</v>
      </c>
      <c r="P19">
        <f>K19/60</f>
        <v>0.16666666666666666</v>
      </c>
      <c r="Q19">
        <f>O19/$O$18</f>
        <v>0.69202834799609036</v>
      </c>
      <c r="V19" t="s">
        <v>7</v>
      </c>
      <c r="W19">
        <f>SUM(W18:Z18)/4</f>
        <v>12.975</v>
      </c>
      <c r="AK19" t="s">
        <v>7</v>
      </c>
      <c r="AL19">
        <f>SUM(AL18:AP18)/5</f>
        <v>8.4300000000000015</v>
      </c>
      <c r="AZ19" t="s">
        <v>7</v>
      </c>
      <c r="BA19">
        <f>SUM(BA18)/1</f>
        <v>5.45</v>
      </c>
      <c r="CD19" t="s">
        <v>7</v>
      </c>
      <c r="CE19">
        <f>SUM(CE18:CH18)/4</f>
        <v>5.8425000000000002</v>
      </c>
      <c r="CU19" t="s">
        <v>7</v>
      </c>
      <c r="CV19">
        <f>SUM(CV18:CZ18)/5</f>
        <v>5.5739999999999998</v>
      </c>
      <c r="DJ19" t="s">
        <v>7</v>
      </c>
      <c r="DK19">
        <f>SUM(DK18:DO18)/5</f>
        <v>5.7679999999999989</v>
      </c>
      <c r="DY19" t="s">
        <v>7</v>
      </c>
      <c r="DZ19">
        <f>SUM(DZ18:ED18)/5</f>
        <v>5.3179999999999996</v>
      </c>
      <c r="EM19" t="s">
        <v>7</v>
      </c>
      <c r="EN19">
        <f>SUM(EN18:ER18)/5</f>
        <v>5.2680000000000007</v>
      </c>
      <c r="FB19" t="s">
        <v>40</v>
      </c>
      <c r="FC19">
        <v>9.4199999999999996E-6</v>
      </c>
      <c r="FD19" t="s">
        <v>41</v>
      </c>
      <c r="GA19" t="s">
        <v>7</v>
      </c>
      <c r="GB19">
        <f>SUM(GB18:GF18)/5</f>
        <v>5.2840000000000007</v>
      </c>
      <c r="GR19" t="s">
        <v>7</v>
      </c>
      <c r="GS19">
        <f>SUM(GS18:GW18)/5</f>
        <v>5.1579999999999995</v>
      </c>
    </row>
    <row r="20" spans="1:206" x14ac:dyDescent="0.3">
      <c r="A20" s="6">
        <v>20</v>
      </c>
      <c r="B20" s="6">
        <v>12.19</v>
      </c>
      <c r="C20" s="6">
        <f>B20/60</f>
        <v>0.20316666666666666</v>
      </c>
      <c r="D20" s="6">
        <f>$C$5/C20</f>
        <v>49.220672682526661</v>
      </c>
      <c r="E20" s="6">
        <f>($C$4-D20)*(10^-3)/60*273.15*1000/(22.4*$B$11*$B$12)</f>
        <v>0.14134062726688174</v>
      </c>
      <c r="F20">
        <f>A20/60</f>
        <v>0.33333333333333331</v>
      </c>
      <c r="G20">
        <f>E20/$E$18</f>
        <v>0.22269578787000288</v>
      </c>
      <c r="K20" s="3">
        <v>20</v>
      </c>
      <c r="L20" s="3">
        <v>12.3</v>
      </c>
      <c r="M20" s="6">
        <f>L20/60</f>
        <v>0.20500000000000002</v>
      </c>
      <c r="N20" s="6">
        <f>$C$5/M20</f>
        <v>48.780487804878042</v>
      </c>
      <c r="O20" s="6">
        <f>($C$4-N20)*(10^-3)/60*273.15*1000/(22.4*$B$11*$B$12)</f>
        <v>0.35260662737869769</v>
      </c>
      <c r="P20">
        <f>K20/60</f>
        <v>0.33333333333333331</v>
      </c>
      <c r="Q20">
        <f>O20/$O$18</f>
        <v>0.45069721606307506</v>
      </c>
      <c r="U20">
        <v>120</v>
      </c>
      <c r="V20" t="s">
        <v>13</v>
      </c>
      <c r="W20">
        <v>12.84</v>
      </c>
      <c r="X20">
        <v>12.9</v>
      </c>
      <c r="Y20">
        <v>12.9</v>
      </c>
      <c r="Z20">
        <v>12.92</v>
      </c>
      <c r="AJ20">
        <v>110</v>
      </c>
      <c r="AK20" t="s">
        <v>13</v>
      </c>
      <c r="AL20">
        <v>7.96</v>
      </c>
      <c r="AM20">
        <v>9.6</v>
      </c>
      <c r="AN20">
        <v>8.11</v>
      </c>
      <c r="AO20">
        <v>7.91</v>
      </c>
      <c r="AP20">
        <v>7.93</v>
      </c>
      <c r="AQ20">
        <v>8.14</v>
      </c>
      <c r="CT20">
        <v>255</v>
      </c>
      <c r="CU20" t="s">
        <v>13</v>
      </c>
      <c r="CV20" s="11">
        <v>5.4</v>
      </c>
      <c r="CW20">
        <v>5.46</v>
      </c>
      <c r="CX20">
        <v>5.88</v>
      </c>
      <c r="CY20">
        <v>5.71</v>
      </c>
      <c r="CZ20">
        <v>5.52</v>
      </c>
      <c r="DK20" s="11"/>
      <c r="DX20">
        <v>1420</v>
      </c>
      <c r="DY20" t="s">
        <v>13</v>
      </c>
      <c r="DZ20">
        <v>5.2</v>
      </c>
      <c r="EA20">
        <v>5.32</v>
      </c>
      <c r="EB20">
        <v>5.22</v>
      </c>
      <c r="EC20">
        <v>5.12</v>
      </c>
      <c r="ED20">
        <v>5.18</v>
      </c>
      <c r="EL20">
        <f>24*60</f>
        <v>1440</v>
      </c>
      <c r="EM20" t="s">
        <v>13</v>
      </c>
      <c r="EN20">
        <v>5.26</v>
      </c>
      <c r="EO20">
        <v>5.37</v>
      </c>
      <c r="EP20">
        <v>5.15</v>
      </c>
      <c r="EQ20">
        <v>5.33</v>
      </c>
      <c r="ER20">
        <v>5.0999999999999996</v>
      </c>
      <c r="FB20" t="s">
        <v>42</v>
      </c>
      <c r="FC20">
        <v>2.5120000000000003E-7</v>
      </c>
      <c r="FD20" t="s">
        <v>41</v>
      </c>
      <c r="FZ20">
        <f>FZ18+60*4</f>
        <v>600</v>
      </c>
      <c r="GA20" t="s">
        <v>13</v>
      </c>
      <c r="GB20">
        <v>5.18</v>
      </c>
      <c r="GC20">
        <v>5.28</v>
      </c>
      <c r="GD20">
        <v>5.2</v>
      </c>
      <c r="GE20">
        <v>5.17</v>
      </c>
      <c r="GF20">
        <v>5.22</v>
      </c>
      <c r="GQ20">
        <f>GQ18+60*4</f>
        <v>1260</v>
      </c>
      <c r="GR20" t="s">
        <v>13</v>
      </c>
      <c r="GS20">
        <v>5.15</v>
      </c>
      <c r="GT20">
        <v>5.0599999999999996</v>
      </c>
      <c r="GU20">
        <v>5.09</v>
      </c>
      <c r="GV20">
        <v>5.14</v>
      </c>
      <c r="GW20">
        <v>5.36</v>
      </c>
      <c r="GX20">
        <v>5.17</v>
      </c>
    </row>
    <row r="21" spans="1:206" x14ac:dyDescent="0.3">
      <c r="K21" s="3">
        <v>30</v>
      </c>
      <c r="L21" s="3">
        <v>12.26</v>
      </c>
      <c r="M21" s="6">
        <f>L21/60</f>
        <v>0.20433333333333334</v>
      </c>
      <c r="N21" s="6">
        <f>$C$5/M21</f>
        <v>48.939641109298528</v>
      </c>
      <c r="O21" s="6">
        <f>($C$4-N21)*(10^-3)/60*273.15*1000/(22.4*$B$11*$B$12)</f>
        <v>0.27622126355360405</v>
      </c>
      <c r="P21">
        <f>K21/60</f>
        <v>0.5</v>
      </c>
      <c r="Q21">
        <f>O21/$O$18</f>
        <v>0.35306243511790364</v>
      </c>
      <c r="V21" t="s">
        <v>7</v>
      </c>
      <c r="W21">
        <f>SUM(W20:Z20)/4</f>
        <v>12.89</v>
      </c>
      <c r="AK21" t="s">
        <v>7</v>
      </c>
      <c r="AL21">
        <f>SUM(AL20:AQ20)/6</f>
        <v>8.2750000000000004</v>
      </c>
      <c r="CU21" t="s">
        <v>7</v>
      </c>
      <c r="CV21">
        <f>SUM(CV20:CZ20)/5</f>
        <v>5.5939999999999994</v>
      </c>
      <c r="DY21" t="s">
        <v>7</v>
      </c>
      <c r="DZ21">
        <f>SUM(DZ20:ED20)/5</f>
        <v>5.2080000000000002</v>
      </c>
      <c r="EM21" t="s">
        <v>7</v>
      </c>
      <c r="EN21">
        <f>SUM(EN20:ER20)/5</f>
        <v>5.242</v>
      </c>
      <c r="FB21" t="s">
        <v>43</v>
      </c>
      <c r="FC21">
        <v>4.1966099999999991E-7</v>
      </c>
      <c r="FD21" t="s">
        <v>41</v>
      </c>
      <c r="GA21" t="s">
        <v>7</v>
      </c>
      <c r="GB21">
        <f>SUM(GB20:GF20)/5</f>
        <v>5.2099999999999991</v>
      </c>
      <c r="GR21" t="s">
        <v>7</v>
      </c>
      <c r="GS21">
        <f>SUM(GS20:GX20)/6</f>
        <v>5.1616666666666662</v>
      </c>
    </row>
    <row r="22" spans="1:206" x14ac:dyDescent="0.3">
      <c r="U22">
        <v>140</v>
      </c>
      <c r="V22" t="s">
        <v>13</v>
      </c>
      <c r="W22">
        <v>12.74</v>
      </c>
      <c r="X22">
        <v>12.9</v>
      </c>
      <c r="Y22">
        <v>12.78</v>
      </c>
      <c r="Z22">
        <v>12.87</v>
      </c>
      <c r="AA22">
        <v>12.82</v>
      </c>
      <c r="AJ22">
        <v>140</v>
      </c>
      <c r="AK22" t="s">
        <v>13</v>
      </c>
      <c r="AL22">
        <v>8.43</v>
      </c>
      <c r="AN22">
        <v>8.82</v>
      </c>
      <c r="AP22">
        <v>8.56</v>
      </c>
      <c r="DX22">
        <v>1540</v>
      </c>
      <c r="DY22" t="s">
        <v>13</v>
      </c>
      <c r="DZ22">
        <v>5.12</v>
      </c>
      <c r="EA22">
        <v>5.21</v>
      </c>
      <c r="EB22">
        <v>5.19</v>
      </c>
      <c r="EC22">
        <v>5.28</v>
      </c>
      <c r="ED22">
        <v>5.18</v>
      </c>
      <c r="EL22">
        <f>48*60-20</f>
        <v>2860</v>
      </c>
      <c r="EM22" t="s">
        <v>13</v>
      </c>
      <c r="EN22">
        <v>5.09</v>
      </c>
      <c r="EO22">
        <v>5.24</v>
      </c>
      <c r="EP22">
        <v>4.97</v>
      </c>
      <c r="EQ22">
        <v>5.09</v>
      </c>
      <c r="ER22">
        <v>5.09</v>
      </c>
      <c r="FB22" t="s">
        <v>44</v>
      </c>
      <c r="FC22">
        <v>1.0979538999999999E-5</v>
      </c>
      <c r="FD22" t="s">
        <v>41</v>
      </c>
      <c r="GQ22">
        <f>GQ20+60*4</f>
        <v>1500</v>
      </c>
      <c r="GR22" t="s">
        <v>13</v>
      </c>
      <c r="GS22">
        <v>5.15</v>
      </c>
      <c r="GT22">
        <v>5.19</v>
      </c>
      <c r="GU22">
        <v>5.07</v>
      </c>
      <c r="GV22">
        <v>5.18</v>
      </c>
      <c r="GW22">
        <v>5.05</v>
      </c>
      <c r="GX22">
        <v>5.21</v>
      </c>
    </row>
    <row r="23" spans="1:206" x14ac:dyDescent="0.3">
      <c r="V23" t="s">
        <v>7</v>
      </c>
      <c r="W23">
        <f>SUM(W22:AA22)/5</f>
        <v>12.821999999999999</v>
      </c>
      <c r="AK23" t="s">
        <v>7</v>
      </c>
      <c r="AL23">
        <f>SUM(AL22:AP22)/3</f>
        <v>8.6033333333333335</v>
      </c>
      <c r="DY23" t="s">
        <v>7</v>
      </c>
      <c r="DZ23">
        <f>SUM(DZ22:ED22)/5</f>
        <v>5.1959999999999997</v>
      </c>
      <c r="EM23" t="s">
        <v>7</v>
      </c>
      <c r="EN23">
        <f>SUM(EN22:ER22)/5</f>
        <v>5.0960000000000001</v>
      </c>
      <c r="FB23" t="s">
        <v>45</v>
      </c>
      <c r="FC23">
        <v>5.7456600000000001E-5</v>
      </c>
      <c r="FD23" t="s">
        <v>46</v>
      </c>
      <c r="GR23" t="s">
        <v>7</v>
      </c>
      <c r="GS23">
        <f>SUM(GS22:GX22)/6</f>
        <v>5.1416666666666666</v>
      </c>
    </row>
    <row r="24" spans="1:206" x14ac:dyDescent="0.3">
      <c r="U24">
        <v>160</v>
      </c>
      <c r="V24" t="s">
        <v>13</v>
      </c>
      <c r="W24">
        <v>12.72</v>
      </c>
      <c r="X24">
        <v>12.72</v>
      </c>
      <c r="Y24">
        <v>12.75</v>
      </c>
      <c r="Z24">
        <v>12.82</v>
      </c>
      <c r="AA24">
        <v>12.67</v>
      </c>
      <c r="AB24">
        <v>12.71</v>
      </c>
      <c r="AJ24">
        <v>180</v>
      </c>
      <c r="AK24" t="s">
        <v>13</v>
      </c>
      <c r="AL24">
        <v>8.2799999999999994</v>
      </c>
      <c r="AM24">
        <v>8.4700000000000006</v>
      </c>
      <c r="AN24">
        <v>8.4</v>
      </c>
      <c r="AO24">
        <v>8.3699999999999992</v>
      </c>
      <c r="AP24">
        <v>8.43</v>
      </c>
      <c r="DX24">
        <f>1035+DX22</f>
        <v>2575</v>
      </c>
      <c r="DY24" t="s">
        <v>13</v>
      </c>
      <c r="DZ24">
        <v>5.18</v>
      </c>
      <c r="EA24">
        <v>5.2</v>
      </c>
      <c r="EB24">
        <v>5.19</v>
      </c>
      <c r="EC24">
        <v>5.3</v>
      </c>
      <c r="ED24">
        <v>5.0599999999999996</v>
      </c>
      <c r="EL24">
        <f>EL22+180+10</f>
        <v>3050</v>
      </c>
      <c r="EM24" t="s">
        <v>13</v>
      </c>
      <c r="EN24">
        <v>5.08</v>
      </c>
      <c r="EO24">
        <v>5.0599999999999996</v>
      </c>
      <c r="EP24">
        <v>5.01</v>
      </c>
      <c r="EQ24">
        <v>5.21</v>
      </c>
      <c r="ER24">
        <v>5.15</v>
      </c>
      <c r="FB24" t="s">
        <v>47</v>
      </c>
      <c r="FC24">
        <v>1.728E-6</v>
      </c>
      <c r="FD24" t="s">
        <v>41</v>
      </c>
      <c r="GQ24">
        <f>GQ22+60*12</f>
        <v>2220</v>
      </c>
      <c r="GR24" t="s">
        <v>13</v>
      </c>
      <c r="GS24">
        <v>5.15</v>
      </c>
      <c r="GT24">
        <v>5.21</v>
      </c>
      <c r="GU24">
        <v>5.22</v>
      </c>
      <c r="GV24">
        <v>5.1100000000000003</v>
      </c>
      <c r="GW24">
        <v>5.12</v>
      </c>
      <c r="GX24">
        <v>5.05</v>
      </c>
    </row>
    <row r="25" spans="1:206" x14ac:dyDescent="0.3">
      <c r="V25" t="s">
        <v>7</v>
      </c>
      <c r="W25">
        <f>SUM(W24:AB24)/6</f>
        <v>12.731666666666667</v>
      </c>
      <c r="AK25" t="s">
        <v>7</v>
      </c>
      <c r="AL25">
        <f>SUM(AL24:AP24)/5</f>
        <v>8.3899999999999988</v>
      </c>
      <c r="DY25" t="s">
        <v>7</v>
      </c>
      <c r="DZ25">
        <f>SUM(DZ24:ED24)/5</f>
        <v>5.1859999999999999</v>
      </c>
      <c r="EM25" t="s">
        <v>7</v>
      </c>
      <c r="EN25">
        <f>SUM(EN24:ER24)/5</f>
        <v>5.1019999999999994</v>
      </c>
      <c r="FB25" t="s">
        <v>48</v>
      </c>
      <c r="FC25">
        <v>9.3257999999999991E-4</v>
      </c>
      <c r="FD25" t="s">
        <v>46</v>
      </c>
      <c r="GR25" t="s">
        <v>7</v>
      </c>
      <c r="GS25">
        <f>SUM(GS24:GX24)/6</f>
        <v>5.1433333333333335</v>
      </c>
    </row>
    <row r="26" spans="1:206" x14ac:dyDescent="0.3">
      <c r="U26">
        <v>250</v>
      </c>
      <c r="V26" t="s">
        <v>13</v>
      </c>
      <c r="W26">
        <v>12.59</v>
      </c>
      <c r="X26">
        <v>12.6</v>
      </c>
      <c r="Y26">
        <v>12.64</v>
      </c>
      <c r="Z26">
        <v>12.67</v>
      </c>
      <c r="DX26">
        <f>DX24+390</f>
        <v>2965</v>
      </c>
      <c r="DY26" t="s">
        <v>13</v>
      </c>
      <c r="DZ26">
        <v>5.13</v>
      </c>
      <c r="EA26">
        <v>5.18</v>
      </c>
      <c r="EB26">
        <v>4.88</v>
      </c>
      <c r="EC26">
        <v>4.87</v>
      </c>
      <c r="ED26">
        <v>5.35</v>
      </c>
      <c r="EE26">
        <v>5.4</v>
      </c>
      <c r="GQ26">
        <f>GQ24+60*4</f>
        <v>2460</v>
      </c>
      <c r="GR26" t="s">
        <v>13</v>
      </c>
      <c r="GS26">
        <v>5.0599999999999996</v>
      </c>
      <c r="GT26">
        <v>5.35</v>
      </c>
      <c r="GU26">
        <v>5.4</v>
      </c>
      <c r="GV26">
        <v>4.93</v>
      </c>
      <c r="GW26">
        <v>5.0599999999999996</v>
      </c>
      <c r="GX26">
        <v>4.97</v>
      </c>
    </row>
    <row r="27" spans="1:206" x14ac:dyDescent="0.3">
      <c r="V27" t="s">
        <v>7</v>
      </c>
      <c r="W27">
        <f>SUM(W26:Z26)/4</f>
        <v>12.625</v>
      </c>
      <c r="DY27" t="s">
        <v>7</v>
      </c>
      <c r="DZ27">
        <f>SUM(DZ26:EE26)/6</f>
        <v>5.1349999999999989</v>
      </c>
      <c r="GR27" t="s">
        <v>7</v>
      </c>
      <c r="GS27">
        <f>SUM(GS26:GX26)/6</f>
        <v>5.128333333333333</v>
      </c>
    </row>
    <row r="28" spans="1:206" x14ac:dyDescent="0.3">
      <c r="GQ28">
        <f>GQ26+60*4</f>
        <v>2700</v>
      </c>
      <c r="GR28" t="s">
        <v>13</v>
      </c>
      <c r="GS28">
        <v>5.09</v>
      </c>
      <c r="GT28">
        <v>5.05</v>
      </c>
      <c r="GU28">
        <v>5.1100000000000003</v>
      </c>
      <c r="GV28">
        <v>5.09</v>
      </c>
      <c r="GW28">
        <v>5.09</v>
      </c>
      <c r="GX28">
        <v>5.14</v>
      </c>
    </row>
    <row r="29" spans="1:206" x14ac:dyDescent="0.3">
      <c r="GR29" t="s">
        <v>7</v>
      </c>
      <c r="GS29">
        <f>SUM(GS28:GX28)/6</f>
        <v>5.0949999999999998</v>
      </c>
    </row>
    <row r="30" spans="1:206" x14ac:dyDescent="0.3">
      <c r="CQ30" s="24" t="s">
        <v>71</v>
      </c>
      <c r="CR30" s="26"/>
      <c r="GQ30">
        <f>GQ28+60*4</f>
        <v>2940</v>
      </c>
      <c r="GR30" t="s">
        <v>13</v>
      </c>
      <c r="GS30">
        <v>5.18</v>
      </c>
      <c r="GT30">
        <v>4.97</v>
      </c>
      <c r="GU30">
        <v>5.13</v>
      </c>
      <c r="GV30">
        <v>5.17</v>
      </c>
      <c r="GW30">
        <v>5.15</v>
      </c>
      <c r="GX30">
        <v>5.01</v>
      </c>
    </row>
    <row r="31" spans="1:206" x14ac:dyDescent="0.3">
      <c r="AT31" t="s">
        <v>59</v>
      </c>
      <c r="AV31" s="17">
        <v>42340</v>
      </c>
      <c r="BC31" s="17">
        <v>42339</v>
      </c>
      <c r="BJ31" s="17">
        <v>42342</v>
      </c>
      <c r="BQ31" s="17">
        <v>42343</v>
      </c>
      <c r="BX31" s="17">
        <v>42344</v>
      </c>
      <c r="CE31" s="17">
        <v>42345</v>
      </c>
      <c r="CK31" s="17">
        <v>42396</v>
      </c>
      <c r="CL31" t="s">
        <v>65</v>
      </c>
      <c r="CM31" s="23">
        <v>42398</v>
      </c>
      <c r="CS31" s="17">
        <v>42402</v>
      </c>
      <c r="CT31" t="s">
        <v>65</v>
      </c>
      <c r="CU31" s="23"/>
      <c r="CX31" t="s">
        <v>77</v>
      </c>
      <c r="GR31" t="s">
        <v>7</v>
      </c>
      <c r="GS31">
        <f>SUM(GS30:GX30)/6</f>
        <v>5.1016666666666657</v>
      </c>
    </row>
    <row r="32" spans="1:206" x14ac:dyDescent="0.3">
      <c r="AD32" t="s">
        <v>58</v>
      </c>
      <c r="AT32" s="5" t="s">
        <v>10</v>
      </c>
      <c r="AU32" s="5">
        <v>3</v>
      </c>
      <c r="AV32" s="5" t="s">
        <v>11</v>
      </c>
      <c r="AW32" s="6"/>
      <c r="AX32" s="6"/>
      <c r="BA32" s="5" t="s">
        <v>10</v>
      </c>
      <c r="BB32" s="5">
        <v>3</v>
      </c>
      <c r="BC32" s="5" t="s">
        <v>11</v>
      </c>
      <c r="BD32" s="6"/>
      <c r="BE32" s="6"/>
      <c r="BH32" s="5" t="s">
        <v>10</v>
      </c>
      <c r="BI32" s="5">
        <v>3</v>
      </c>
      <c r="BJ32" s="5" t="s">
        <v>11</v>
      </c>
      <c r="BK32" s="6"/>
      <c r="BL32" s="6"/>
      <c r="BO32" s="5" t="s">
        <v>10</v>
      </c>
      <c r="BP32" s="5">
        <v>3</v>
      </c>
      <c r="BQ32" s="5" t="s">
        <v>11</v>
      </c>
      <c r="BR32" s="6"/>
      <c r="BS32" s="6"/>
      <c r="BV32" s="5" t="s">
        <v>10</v>
      </c>
      <c r="BW32" s="5">
        <v>2.8</v>
      </c>
      <c r="BX32" s="5" t="s">
        <v>11</v>
      </c>
      <c r="BY32" s="6"/>
      <c r="BZ32" s="6"/>
      <c r="CC32" s="5" t="s">
        <v>10</v>
      </c>
      <c r="CD32" s="5">
        <v>3</v>
      </c>
      <c r="CE32" s="5" t="s">
        <v>11</v>
      </c>
      <c r="CF32" s="6"/>
      <c r="CG32" s="6"/>
      <c r="CI32" s="5" t="s">
        <v>10</v>
      </c>
      <c r="CJ32" s="5">
        <v>2.2999999999999998</v>
      </c>
      <c r="CK32" s="5" t="s">
        <v>11</v>
      </c>
      <c r="CL32" s="6"/>
      <c r="CM32" s="6"/>
      <c r="CQ32" s="5" t="s">
        <v>10</v>
      </c>
      <c r="CR32" s="5">
        <v>2.2999999999999998</v>
      </c>
      <c r="CS32" s="5" t="s">
        <v>11</v>
      </c>
      <c r="CT32" s="6"/>
      <c r="CU32" s="6"/>
      <c r="CZ32" s="17">
        <v>42408</v>
      </c>
      <c r="DA32" t="s">
        <v>65</v>
      </c>
      <c r="DB32" s="23" t="s">
        <v>76</v>
      </c>
      <c r="DG32" s="17">
        <v>42409</v>
      </c>
      <c r="DH32" t="s">
        <v>65</v>
      </c>
      <c r="DI32" s="23">
        <v>42412</v>
      </c>
      <c r="GQ32">
        <f>GQ30+60*11</f>
        <v>3600</v>
      </c>
      <c r="GR32" t="s">
        <v>13</v>
      </c>
      <c r="GS32">
        <v>4.97</v>
      </c>
      <c r="GT32">
        <v>5.04</v>
      </c>
      <c r="GU32">
        <v>5.08</v>
      </c>
      <c r="GV32">
        <v>4.8600000000000003</v>
      </c>
      <c r="GW32">
        <v>5.15</v>
      </c>
      <c r="GX32">
        <v>5.0199999999999996</v>
      </c>
    </row>
    <row r="33" spans="1:201" x14ac:dyDescent="0.3">
      <c r="R33" s="5" t="s">
        <v>10</v>
      </c>
      <c r="S33" s="5">
        <v>0.6</v>
      </c>
      <c r="T33" s="5" t="s">
        <v>11</v>
      </c>
      <c r="U33" s="6"/>
      <c r="V33" s="6"/>
      <c r="AD33" s="5" t="s">
        <v>10</v>
      </c>
      <c r="AE33" s="5">
        <v>3</v>
      </c>
      <c r="AF33" s="5" t="s">
        <v>11</v>
      </c>
      <c r="AG33" s="6"/>
      <c r="AH33" s="6"/>
      <c r="AR33" t="s">
        <v>80</v>
      </c>
      <c r="AS33" t="s">
        <v>2</v>
      </c>
      <c r="AT33" s="6" t="s">
        <v>12</v>
      </c>
      <c r="AU33" s="6" t="s">
        <v>14</v>
      </c>
      <c r="AV33" s="6"/>
      <c r="AW33" s="6" t="s">
        <v>15</v>
      </c>
      <c r="AX33" s="6" t="s">
        <v>22</v>
      </c>
      <c r="BA33" s="6" t="s">
        <v>12</v>
      </c>
      <c r="BB33" s="6" t="s">
        <v>14</v>
      </c>
      <c r="BC33" s="6"/>
      <c r="BD33" s="6" t="s">
        <v>15</v>
      </c>
      <c r="BE33" s="6" t="s">
        <v>22</v>
      </c>
      <c r="BH33" s="6" t="s">
        <v>12</v>
      </c>
      <c r="BI33" s="6" t="s">
        <v>14</v>
      </c>
      <c r="BJ33" s="6"/>
      <c r="BK33" s="6" t="s">
        <v>15</v>
      </c>
      <c r="BL33" s="6" t="s">
        <v>22</v>
      </c>
      <c r="BO33" s="6" t="s">
        <v>12</v>
      </c>
      <c r="BP33" s="6" t="s">
        <v>14</v>
      </c>
      <c r="BQ33" s="6"/>
      <c r="BR33" s="6" t="s">
        <v>15</v>
      </c>
      <c r="BS33" s="6" t="s">
        <v>22</v>
      </c>
      <c r="BV33" s="6" t="s">
        <v>12</v>
      </c>
      <c r="BW33" s="6" t="s">
        <v>14</v>
      </c>
      <c r="BX33" s="6"/>
      <c r="BY33" s="6" t="s">
        <v>15</v>
      </c>
      <c r="BZ33" s="6" t="s">
        <v>22</v>
      </c>
      <c r="CC33" s="6" t="s">
        <v>12</v>
      </c>
      <c r="CD33" s="6" t="s">
        <v>14</v>
      </c>
      <c r="CE33" s="6"/>
      <c r="CF33" s="6" t="s">
        <v>15</v>
      </c>
      <c r="CG33" s="6" t="s">
        <v>22</v>
      </c>
      <c r="CI33" s="6" t="s">
        <v>12</v>
      </c>
      <c r="CJ33" s="6" t="s">
        <v>14</v>
      </c>
      <c r="CK33" s="6"/>
      <c r="CL33" s="6" t="s">
        <v>15</v>
      </c>
      <c r="CM33" s="6" t="s">
        <v>22</v>
      </c>
      <c r="CQ33" s="6" t="s">
        <v>12</v>
      </c>
      <c r="CR33" s="6" t="s">
        <v>14</v>
      </c>
      <c r="CS33" s="6"/>
      <c r="CT33" s="6" t="s">
        <v>15</v>
      </c>
      <c r="CU33" s="6" t="s">
        <v>22</v>
      </c>
      <c r="CX33" s="5" t="s">
        <v>10</v>
      </c>
      <c r="CY33" s="5">
        <v>2.2999999999999998</v>
      </c>
      <c r="CZ33" s="5" t="s">
        <v>11</v>
      </c>
      <c r="DA33" s="6"/>
      <c r="DB33" s="6"/>
      <c r="DE33" s="5" t="s">
        <v>10</v>
      </c>
      <c r="DF33" s="5">
        <v>2.2999999999999998</v>
      </c>
      <c r="DG33" s="5" t="s">
        <v>11</v>
      </c>
      <c r="DH33" s="6"/>
      <c r="DI33" s="6"/>
      <c r="GR33" t="s">
        <v>7</v>
      </c>
      <c r="GS33">
        <f>SUM(GS32:GX32)/6</f>
        <v>5.0200000000000005</v>
      </c>
    </row>
    <row r="34" spans="1:201" x14ac:dyDescent="0.3">
      <c r="P34" t="s">
        <v>80</v>
      </c>
      <c r="Q34" t="s">
        <v>2</v>
      </c>
      <c r="R34" s="6" t="s">
        <v>12</v>
      </c>
      <c r="S34" s="6" t="s">
        <v>14</v>
      </c>
      <c r="T34" s="6"/>
      <c r="U34" s="6" t="s">
        <v>15</v>
      </c>
      <c r="V34" s="6" t="s">
        <v>22</v>
      </c>
      <c r="AB34" t="s">
        <v>80</v>
      </c>
      <c r="AC34" t="s">
        <v>2</v>
      </c>
      <c r="AD34" s="6" t="s">
        <v>12</v>
      </c>
      <c r="AE34" s="6" t="s">
        <v>14</v>
      </c>
      <c r="AF34" s="6"/>
      <c r="AG34" s="6" t="s">
        <v>15</v>
      </c>
      <c r="AH34" s="6" t="s">
        <v>22</v>
      </c>
      <c r="AR34" t="s">
        <v>76</v>
      </c>
      <c r="AS34" t="s">
        <v>79</v>
      </c>
      <c r="AT34" s="6" t="s">
        <v>6</v>
      </c>
      <c r="AU34" s="6" t="s">
        <v>13</v>
      </c>
      <c r="AV34" s="6" t="s">
        <v>6</v>
      </c>
      <c r="AW34" s="7" t="s">
        <v>1</v>
      </c>
      <c r="AX34" s="6" t="s">
        <v>23</v>
      </c>
      <c r="BA34" s="6" t="s">
        <v>6</v>
      </c>
      <c r="BB34" s="6" t="s">
        <v>13</v>
      </c>
      <c r="BC34" s="6" t="s">
        <v>6</v>
      </c>
      <c r="BD34" s="7" t="s">
        <v>1</v>
      </c>
      <c r="BE34" s="6" t="s">
        <v>23</v>
      </c>
      <c r="BH34" s="6" t="s">
        <v>6</v>
      </c>
      <c r="BI34" s="6" t="s">
        <v>13</v>
      </c>
      <c r="BJ34" s="6" t="s">
        <v>6</v>
      </c>
      <c r="BK34" s="7" t="s">
        <v>1</v>
      </c>
      <c r="BL34" s="6" t="s">
        <v>23</v>
      </c>
      <c r="BO34" s="6" t="s">
        <v>6</v>
      </c>
      <c r="BP34" s="6" t="s">
        <v>13</v>
      </c>
      <c r="BQ34" s="6" t="s">
        <v>6</v>
      </c>
      <c r="BR34" s="7" t="s">
        <v>1</v>
      </c>
      <c r="BS34" s="6" t="s">
        <v>23</v>
      </c>
      <c r="BV34" s="6" t="s">
        <v>6</v>
      </c>
      <c r="BW34" s="6" t="s">
        <v>13</v>
      </c>
      <c r="BX34" s="6" t="s">
        <v>6</v>
      </c>
      <c r="BY34" s="7" t="s">
        <v>1</v>
      </c>
      <c r="BZ34" s="6" t="s">
        <v>23</v>
      </c>
      <c r="CC34" s="6" t="s">
        <v>6</v>
      </c>
      <c r="CD34" s="6" t="s">
        <v>13</v>
      </c>
      <c r="CE34" s="6" t="s">
        <v>6</v>
      </c>
      <c r="CF34" s="7" t="s">
        <v>1</v>
      </c>
      <c r="CG34" s="6" t="s">
        <v>23</v>
      </c>
      <c r="CI34" s="6" t="s">
        <v>6</v>
      </c>
      <c r="CJ34" s="6" t="s">
        <v>13</v>
      </c>
      <c r="CK34" s="6" t="s">
        <v>6</v>
      </c>
      <c r="CL34" s="7" t="s">
        <v>1</v>
      </c>
      <c r="CM34" s="6" t="s">
        <v>23</v>
      </c>
      <c r="CQ34" s="6" t="s">
        <v>6</v>
      </c>
      <c r="CR34" s="6" t="s">
        <v>13</v>
      </c>
      <c r="CS34" s="6" t="s">
        <v>6</v>
      </c>
      <c r="CT34" s="7" t="s">
        <v>1</v>
      </c>
      <c r="CU34" s="6" t="s">
        <v>23</v>
      </c>
      <c r="CX34" s="6" t="s">
        <v>12</v>
      </c>
      <c r="CY34" s="6" t="s">
        <v>14</v>
      </c>
      <c r="CZ34" s="6"/>
      <c r="DA34" s="6" t="s">
        <v>15</v>
      </c>
      <c r="DB34" s="6" t="s">
        <v>22</v>
      </c>
      <c r="DE34" s="6" t="s">
        <v>12</v>
      </c>
      <c r="DF34" s="6" t="s">
        <v>14</v>
      </c>
      <c r="DG34" s="6"/>
      <c r="DH34" s="6" t="s">
        <v>15</v>
      </c>
      <c r="DI34" s="6" t="s">
        <v>22</v>
      </c>
    </row>
    <row r="35" spans="1:201" x14ac:dyDescent="0.3">
      <c r="P35" t="s">
        <v>76</v>
      </c>
      <c r="Q35" t="s">
        <v>79</v>
      </c>
      <c r="R35" s="6" t="s">
        <v>6</v>
      </c>
      <c r="S35" s="6" t="s">
        <v>13</v>
      </c>
      <c r="T35" s="6" t="s">
        <v>6</v>
      </c>
      <c r="U35" s="7" t="s">
        <v>1</v>
      </c>
      <c r="V35" s="6" t="s">
        <v>23</v>
      </c>
      <c r="AB35" t="s">
        <v>76</v>
      </c>
      <c r="AC35" t="s">
        <v>79</v>
      </c>
      <c r="AD35" s="6" t="s">
        <v>6</v>
      </c>
      <c r="AE35" s="6" t="s">
        <v>13</v>
      </c>
      <c r="AF35" s="6" t="s">
        <v>6</v>
      </c>
      <c r="AG35" s="7" t="s">
        <v>1</v>
      </c>
      <c r="AH35" s="6" t="s">
        <v>23</v>
      </c>
      <c r="AR35">
        <f>AX35/$AX$35</f>
        <v>1</v>
      </c>
      <c r="AS35">
        <f>AT35/60</f>
        <v>1.6666666666666666E-2</v>
      </c>
      <c r="AT35" s="6">
        <v>1</v>
      </c>
      <c r="AU35" s="8">
        <f>BA5</f>
        <v>14.705</v>
      </c>
      <c r="AV35" s="9">
        <f>AU35/60</f>
        <v>0.24508333333333335</v>
      </c>
      <c r="AW35" s="6">
        <f>5/AV35</f>
        <v>20.401224073444407</v>
      </c>
      <c r="AX35" s="6">
        <f>($AV$4-AW35)*(10^-3)/60*273.15*1000/(22.4*$B$11*$B$12)</f>
        <v>18.900163772979692</v>
      </c>
      <c r="AZ35">
        <f>BA35/60</f>
        <v>1.6666666666666666E-2</v>
      </c>
      <c r="BA35" s="7">
        <v>1</v>
      </c>
      <c r="BB35" s="8">
        <v>10.702000000000002</v>
      </c>
      <c r="BC35" s="9">
        <f>BB35/60</f>
        <v>0.1783666666666667</v>
      </c>
      <c r="BD35" s="6">
        <f>5/BC35</f>
        <v>28.032143524574842</v>
      </c>
      <c r="BE35" s="6">
        <f>($BK$4-BD35)*(10^-3)/60*273.15*1000/(22.4*$B$11*$B$12)</f>
        <v>15.415092243249081</v>
      </c>
      <c r="BG35">
        <f>BH35/60</f>
        <v>1.6666666666666666E-2</v>
      </c>
      <c r="BH35" s="7">
        <v>1</v>
      </c>
      <c r="BI35" s="8">
        <v>11.835000000000001</v>
      </c>
      <c r="BJ35" s="9">
        <f>BI35/60</f>
        <v>0.19725000000000001</v>
      </c>
      <c r="BK35" s="6">
        <f>5/BJ35</f>
        <v>25.348542458808616</v>
      </c>
      <c r="BL35" s="6">
        <f>($BZ$4-BK35)*(10^-3)/60*273.15*1000/(22.4*$B$11*$B$12)</f>
        <v>16.544777126528505</v>
      </c>
      <c r="BN35">
        <f>BO35/60</f>
        <v>1.6666666666666666E-2</v>
      </c>
      <c r="BO35" s="7">
        <v>1</v>
      </c>
      <c r="BP35" s="8">
        <v>12.784000000000001</v>
      </c>
      <c r="BQ35" s="9">
        <f>BP35/60</f>
        <v>0.21306666666666668</v>
      </c>
      <c r="BR35" s="6">
        <f>5/BQ35</f>
        <v>23.466833541927407</v>
      </c>
      <c r="BS35" s="6">
        <f>($CQ$4-BR35)*(10^-3)/60*273.15*1000/(22.4*$B$11*$B$12)</f>
        <v>17.426447563790319</v>
      </c>
      <c r="BU35">
        <f>BV35/60</f>
        <v>1.6666666666666666E-2</v>
      </c>
      <c r="BV35" s="7">
        <v>1</v>
      </c>
      <c r="BW35" s="8">
        <v>11.302000000000001</v>
      </c>
      <c r="BX35" s="9">
        <f>BW35/60</f>
        <v>0.18836666666666668</v>
      </c>
      <c r="BY35" s="6">
        <f>5/BX35</f>
        <v>26.543974517784459</v>
      </c>
      <c r="BZ35" s="6">
        <f>($DF$4-BY35)*(10^-3)/60*273.15*1000/(22.4*$B$11*$B$12)</f>
        <v>16.021212615006078</v>
      </c>
      <c r="CB35">
        <f>CC35/60</f>
        <v>1.6666666666666666E-2</v>
      </c>
      <c r="CC35" s="7">
        <v>1</v>
      </c>
      <c r="CD35" s="8">
        <v>11.272</v>
      </c>
      <c r="CE35" s="9">
        <f>CD35/60</f>
        <v>0.18786666666666668</v>
      </c>
      <c r="CF35" s="6">
        <f>5/CE35</f>
        <v>26.614620298083747</v>
      </c>
      <c r="CG35" s="6">
        <f>($DU$4-CF35)*(10^-3)/60*273.15*1000/(22.4*$B$11*$B$12)</f>
        <v>16.088196615119717</v>
      </c>
      <c r="CI35" s="16">
        <v>1</v>
      </c>
      <c r="CJ35" s="9">
        <v>7.7200000000000006</v>
      </c>
      <c r="CK35" s="9">
        <f>CJ35/60</f>
        <v>0.12866666666666668</v>
      </c>
      <c r="CL35" s="6">
        <f>5/CK35</f>
        <v>38.860103626943001</v>
      </c>
      <c r="CM35" s="6">
        <f>($EI$4-CL35)*(10^-3)/60*273.15*1000/(22.4*$B$11*$B$12)</f>
        <v>10.019906818635263</v>
      </c>
      <c r="CQ35" s="16">
        <v>1</v>
      </c>
      <c r="CR35" s="9">
        <v>7.1</v>
      </c>
      <c r="CS35" s="9">
        <f t="shared" ref="CS35:CS41" si="0">CR35/60</f>
        <v>0.11833333333333333</v>
      </c>
      <c r="CT35" s="6">
        <f t="shared" ref="CT35:CT41" si="1">5/CS35</f>
        <v>42.25352112676056</v>
      </c>
      <c r="CU35" s="6">
        <f t="shared" ref="CU35:CU41" si="2">($FD$4-CT35)*(10^-3)/60*273.15*1000/(22.4*$FC$11*$FC$12)</f>
        <v>13.170544147268052</v>
      </c>
      <c r="CX35" s="6" t="s">
        <v>6</v>
      </c>
      <c r="CY35" s="6" t="s">
        <v>13</v>
      </c>
      <c r="CZ35" s="6" t="s">
        <v>6</v>
      </c>
      <c r="DA35" s="7" t="s">
        <v>1</v>
      </c>
      <c r="DB35" s="6" t="s">
        <v>23</v>
      </c>
      <c r="DE35" s="6" t="s">
        <v>6</v>
      </c>
      <c r="DF35" s="6" t="s">
        <v>13</v>
      </c>
      <c r="DG35" s="6" t="s">
        <v>6</v>
      </c>
      <c r="DH35" s="7" t="s">
        <v>1</v>
      </c>
      <c r="DI35" s="6" t="s">
        <v>23</v>
      </c>
    </row>
    <row r="36" spans="1:201" x14ac:dyDescent="0.3">
      <c r="P36">
        <f>V36/$V$36</f>
        <v>1</v>
      </c>
      <c r="Q36">
        <f>R36/60</f>
        <v>1.6666666666666666E-2</v>
      </c>
      <c r="R36" s="6">
        <v>1</v>
      </c>
      <c r="S36" s="8">
        <f>W5</f>
        <v>14.46</v>
      </c>
      <c r="T36" s="9">
        <f>S36/60</f>
        <v>0.24100000000000002</v>
      </c>
      <c r="U36" s="6">
        <f>$C$5/T36</f>
        <v>41.493775933609953</v>
      </c>
      <c r="V36" s="6">
        <f t="shared" ref="V36:V45" si="3">($R$4-U36)*(10^-3)/60*273.15*1000/(22.4*$B$11*$B$12)</f>
        <v>4.037637148385012</v>
      </c>
      <c r="AB36">
        <f>AH36/$AH$36</f>
        <v>1</v>
      </c>
      <c r="AC36">
        <f>AD36/60</f>
        <v>1.6666666666666666E-2</v>
      </c>
      <c r="AD36" s="6">
        <v>1</v>
      </c>
      <c r="AE36" s="8">
        <f>AL5</f>
        <v>18.910000000000004</v>
      </c>
      <c r="AF36" s="9">
        <f>AE36/60</f>
        <v>0.31516666666666671</v>
      </c>
      <c r="AG36" s="6">
        <f>5/AF36</f>
        <v>15.86462189317821</v>
      </c>
      <c r="AH36" s="6">
        <f>($AG$4-AG36)*(10^-3)/60*273.15*1000/(22.4*$B$11*$B$12)</f>
        <v>16.293563853584732</v>
      </c>
      <c r="AR36">
        <f t="shared" ref="AR36:AR42" si="4">AX36/$AX$35</f>
        <v>0.9334028651124856</v>
      </c>
      <c r="AS36">
        <f t="shared" ref="AS36:AS42" si="5">AT36/60</f>
        <v>0.16666666666666666</v>
      </c>
      <c r="AT36" s="6">
        <v>10</v>
      </c>
      <c r="AU36" s="8">
        <f>BA7</f>
        <v>13.03</v>
      </c>
      <c r="AV36" s="9">
        <f t="shared" ref="AV36:AV42" si="6">AU36/60</f>
        <v>0.21716666666666665</v>
      </c>
      <c r="AW36" s="6">
        <f t="shared" ref="AW36:AW42" si="7">5/AV36</f>
        <v>23.023791250959327</v>
      </c>
      <c r="AX36" s="6">
        <f t="shared" ref="AX36:AX42" si="8">($AV$4-AW36)*(10^-3)/60*273.15*1000/(22.4*$B$11*$B$12)</f>
        <v>17.641467016794451</v>
      </c>
      <c r="AZ36">
        <f t="shared" ref="AZ36:AZ41" si="9">BA36/60</f>
        <v>0.16666666666666666</v>
      </c>
      <c r="BA36" s="7">
        <v>10</v>
      </c>
      <c r="BB36" s="8">
        <v>10.4925</v>
      </c>
      <c r="BC36" s="9">
        <f t="shared" ref="BC36:BC41" si="10">BB36/60</f>
        <v>0.174875</v>
      </c>
      <c r="BD36" s="6">
        <f t="shared" ref="BD36:BD41" si="11">5/BC36</f>
        <v>28.591851322373124</v>
      </c>
      <c r="BE36" s="6">
        <f t="shared" ref="BE36:BE41" si="12">($BK$4-BD36)*(10^-3)/60*273.15*1000/(22.4*$B$11*$B$12)</f>
        <v>15.146461416347687</v>
      </c>
      <c r="BG36">
        <f t="shared" ref="BG36:BG42" si="13">BH36/60</f>
        <v>0.16666666666666666</v>
      </c>
      <c r="BH36" s="7">
        <v>10</v>
      </c>
      <c r="BI36" s="8">
        <v>10.020000000000001</v>
      </c>
      <c r="BJ36" s="9">
        <f t="shared" ref="BJ36:BJ42" si="14">BI36/60</f>
        <v>0.16700000000000001</v>
      </c>
      <c r="BK36" s="6">
        <f t="shared" ref="BK36:BK42" si="15">5/BJ36</f>
        <v>29.940119760479039</v>
      </c>
      <c r="BL36" s="6">
        <f t="shared" ref="BL36:BL41" si="16">($BZ$4-BK36)*(10^-3)/60*273.15*1000/(22.4*$B$11*$B$12)</f>
        <v>14.341057235218518</v>
      </c>
      <c r="BN36">
        <f t="shared" ref="BN36:BN43" si="17">BO36/60</f>
        <v>0.16666666666666666</v>
      </c>
      <c r="BO36" s="7">
        <v>10</v>
      </c>
      <c r="BP36" s="8">
        <v>10.93</v>
      </c>
      <c r="BQ36" s="9">
        <f t="shared" ref="BQ36:BQ43" si="18">BP36/60</f>
        <v>0.18216666666666667</v>
      </c>
      <c r="BR36" s="6">
        <f t="shared" ref="BR36:BR43" si="19">5/BQ36</f>
        <v>27.447392497712716</v>
      </c>
      <c r="BS36" s="6">
        <f t="shared" ref="BS36:BS42" si="20">($CQ$4-BR36)*(10^-3)/60*273.15*1000/(22.4*$B$11*$B$12)</f>
        <v>15.515984911619588</v>
      </c>
      <c r="BU36">
        <f t="shared" ref="BU36:BU42" si="21">BV36/60</f>
        <v>0.16666666666666666</v>
      </c>
      <c r="BV36" s="7">
        <v>10</v>
      </c>
      <c r="BW36" s="8">
        <v>10.754000000000001</v>
      </c>
      <c r="BX36" s="9">
        <f t="shared" ref="BX36:BX42" si="22">BW36/60</f>
        <v>0.17923333333333336</v>
      </c>
      <c r="BY36" s="6">
        <f t="shared" ref="BY36:BY42" si="23">5/BX36</f>
        <v>27.896596615212939</v>
      </c>
      <c r="BZ36" s="6">
        <f t="shared" ref="BZ36:BZ41" si="24">($DF$4-BY36)*(10^-3)/60*273.15*1000/(22.4*$B$11*$B$12)</f>
        <v>15.372023888412247</v>
      </c>
      <c r="CB36">
        <f t="shared" ref="CB36:CB46" si="25">CC36/60</f>
        <v>0.16666666666666666</v>
      </c>
      <c r="CC36" s="7">
        <v>10</v>
      </c>
      <c r="CD36" s="8">
        <v>10.394</v>
      </c>
      <c r="CE36" s="9">
        <f t="shared" ref="CE36:CE46" si="26">CD36/60</f>
        <v>0.17323333333333332</v>
      </c>
      <c r="CF36" s="6">
        <f t="shared" ref="CF36:CF46" si="27">5/CE36</f>
        <v>28.862805464691171</v>
      </c>
      <c r="CG36" s="6">
        <f t="shared" ref="CG36:CG46" si="28">($DU$4-CF36)*(10^-3)/60*273.15*1000/(22.4*$B$11*$B$12)</f>
        <v>15.009183882567346</v>
      </c>
      <c r="CI36" s="16">
        <v>10</v>
      </c>
      <c r="CJ36" s="9">
        <v>7.45</v>
      </c>
      <c r="CK36" s="9">
        <f t="shared" ref="CK36:CK42" si="29">CJ36/60</f>
        <v>0.12416666666666668</v>
      </c>
      <c r="CL36" s="6">
        <f t="shared" ref="CL36:CL42" si="30">5/CK36</f>
        <v>40.268456375838923</v>
      </c>
      <c r="CM36" s="6">
        <f t="shared" ref="CM36:CM45" si="31">($EI$4-CL36)*(10^-3)/60*273.15*1000/(22.4*$B$11*$B$12)</f>
        <v>9.3439702585355473</v>
      </c>
      <c r="CQ36" s="16">
        <v>10</v>
      </c>
      <c r="CR36" s="9">
        <v>6.7959999999999994</v>
      </c>
      <c r="CS36" s="9">
        <f t="shared" si="0"/>
        <v>0.11326666666666665</v>
      </c>
      <c r="CT36" s="6">
        <f t="shared" si="1"/>
        <v>44.143613890523845</v>
      </c>
      <c r="CU36" s="6">
        <f t="shared" si="2"/>
        <v>11.765438239958101</v>
      </c>
      <c r="CX36" s="16">
        <v>1</v>
      </c>
      <c r="CY36" s="9">
        <v>7.4185714285714299</v>
      </c>
      <c r="CZ36" s="9">
        <f>CY36/60</f>
        <v>0.12364285714285717</v>
      </c>
      <c r="DA36" s="6">
        <f>5/CZ36</f>
        <v>40.439052570768332</v>
      </c>
      <c r="DB36" s="6">
        <f>($FW$4-DA36)*(10^-3)/60*273.15*1000/(22.4*$B$11*$B$12)</f>
        <v>9.4517370585930358</v>
      </c>
      <c r="DE36" s="16">
        <v>1</v>
      </c>
      <c r="DF36" s="9">
        <v>7.61</v>
      </c>
      <c r="DG36" s="9">
        <f>DF36/60</f>
        <v>0.12683333333333333</v>
      </c>
      <c r="DH36" s="6">
        <f>5/DG36</f>
        <v>39.421813403416557</v>
      </c>
      <c r="DI36" s="6">
        <f>($GN$4-DH36)*(10^-3)/60*273.15*1000/(22.4*$B$11*$B$12)</f>
        <v>9.8548849516734052</v>
      </c>
    </row>
    <row r="37" spans="1:201" x14ac:dyDescent="0.3">
      <c r="P37">
        <f t="shared" ref="P37:P47" si="32">V37/$V$36</f>
        <v>0.98116786372253129</v>
      </c>
      <c r="Q37">
        <f t="shared" ref="Q37:Q47" si="33">R37/60</f>
        <v>0.16666666666666666</v>
      </c>
      <c r="R37" s="6">
        <v>10</v>
      </c>
      <c r="S37" s="8">
        <f>W7</f>
        <v>14.404999999999999</v>
      </c>
      <c r="T37" s="9">
        <f t="shared" ref="T37:T47" si="34">S37/60</f>
        <v>0.24008333333333332</v>
      </c>
      <c r="U37" s="6">
        <f t="shared" ref="U37:U47" si="35">$C$5/T37</f>
        <v>41.652204095800073</v>
      </c>
      <c r="V37" s="6">
        <f t="shared" si="3"/>
        <v>3.9615998153676553</v>
      </c>
      <c r="AB37">
        <f t="shared" ref="AB37:AB46" si="36">AH37/$AH$36</f>
        <v>0.89479017323986576</v>
      </c>
      <c r="AC37">
        <f t="shared" ref="AC37:AC46" si="37">AD37/60</f>
        <v>0.16666666666666666</v>
      </c>
      <c r="AD37" s="6">
        <v>10</v>
      </c>
      <c r="AE37" s="8">
        <f>AL7</f>
        <v>15.435</v>
      </c>
      <c r="AF37" s="9">
        <f t="shared" ref="AF37:AF46" si="38">AE37/60</f>
        <v>0.25725000000000003</v>
      </c>
      <c r="AG37" s="6">
        <f t="shared" ref="AG37:AG46" si="39">5/AF37</f>
        <v>19.436345966958211</v>
      </c>
      <c r="AH37" s="6">
        <f t="shared" ref="AH37:AH46" si="40">($AG$4-AG37)*(10^-3)/60*273.15*1000/(22.4*$B$11*$B$12)</f>
        <v>14.579320823243897</v>
      </c>
      <c r="AR37">
        <f t="shared" si="4"/>
        <v>0.77264908758853745</v>
      </c>
      <c r="AS37">
        <f t="shared" si="5"/>
        <v>0.33333333333333331</v>
      </c>
      <c r="AT37" s="6">
        <v>20</v>
      </c>
      <c r="AU37" s="8">
        <f>BA9</f>
        <v>10.220000000000001</v>
      </c>
      <c r="AV37" s="9">
        <f t="shared" si="6"/>
        <v>0.17033333333333334</v>
      </c>
      <c r="AW37" s="6">
        <f t="shared" si="7"/>
        <v>29.354207436399218</v>
      </c>
      <c r="AX37" s="6">
        <f t="shared" si="8"/>
        <v>14.603194294466688</v>
      </c>
      <c r="AZ37">
        <f t="shared" si="9"/>
        <v>0.33333333333333331</v>
      </c>
      <c r="BA37" s="7">
        <v>20</v>
      </c>
      <c r="BB37" s="8">
        <v>9.2459999999999987</v>
      </c>
      <c r="BC37" s="9">
        <f t="shared" si="10"/>
        <v>0.15409999999999999</v>
      </c>
      <c r="BD37" s="6">
        <f t="shared" si="11"/>
        <v>32.446463335496432</v>
      </c>
      <c r="BE37" s="6">
        <f t="shared" si="12"/>
        <v>13.296446789889815</v>
      </c>
      <c r="BG37">
        <f t="shared" si="13"/>
        <v>0.33333333333333331</v>
      </c>
      <c r="BH37" s="7">
        <v>20</v>
      </c>
      <c r="BI37" s="8">
        <v>9.129999999999999</v>
      </c>
      <c r="BJ37" s="9">
        <f t="shared" si="14"/>
        <v>0.15216666666666664</v>
      </c>
      <c r="BK37" s="6">
        <f t="shared" si="15"/>
        <v>32.85870755750274</v>
      </c>
      <c r="BL37" s="6">
        <f t="shared" si="16"/>
        <v>12.940285874907138</v>
      </c>
      <c r="BN37">
        <f t="shared" si="17"/>
        <v>0.5</v>
      </c>
      <c r="BO37" s="7">
        <v>30</v>
      </c>
      <c r="BP37" s="8">
        <v>8.6280000000000001</v>
      </c>
      <c r="BQ37" s="9">
        <f t="shared" si="18"/>
        <v>0.14380000000000001</v>
      </c>
      <c r="BR37" s="6">
        <f t="shared" si="19"/>
        <v>34.770514603616128</v>
      </c>
      <c r="BS37" s="6">
        <f t="shared" si="20"/>
        <v>12.001264633383139</v>
      </c>
      <c r="BU37">
        <f t="shared" si="21"/>
        <v>0.33333333333333331</v>
      </c>
      <c r="BV37" s="7">
        <v>20</v>
      </c>
      <c r="BW37" s="8">
        <v>8.9879999999999995</v>
      </c>
      <c r="BX37" s="9">
        <f t="shared" si="22"/>
        <v>0.14979999999999999</v>
      </c>
      <c r="BY37" s="6">
        <f t="shared" si="23"/>
        <v>33.377837116154879</v>
      </c>
      <c r="BZ37" s="6">
        <f t="shared" si="24"/>
        <v>12.741311623895809</v>
      </c>
      <c r="CB37">
        <f t="shared" si="25"/>
        <v>0.33333333333333331</v>
      </c>
      <c r="CC37" s="7">
        <v>20</v>
      </c>
      <c r="CD37" s="8">
        <v>9.1519999999999992</v>
      </c>
      <c r="CE37" s="9">
        <f t="shared" si="26"/>
        <v>0.15253333333333333</v>
      </c>
      <c r="CF37" s="6">
        <f t="shared" si="27"/>
        <v>32.77972027972028</v>
      </c>
      <c r="CG37" s="6">
        <f t="shared" si="28"/>
        <v>13.129267129928513</v>
      </c>
      <c r="CI37" s="16">
        <v>20</v>
      </c>
      <c r="CJ37" s="9">
        <v>7.089999999999999</v>
      </c>
      <c r="CK37" s="9">
        <f t="shared" si="29"/>
        <v>0.11816666666666666</v>
      </c>
      <c r="CL37" s="6">
        <f t="shared" si="30"/>
        <v>42.313117066290552</v>
      </c>
      <c r="CM37" s="6">
        <f t="shared" si="31"/>
        <v>8.3626387599046446</v>
      </c>
      <c r="CQ37" s="16">
        <v>20</v>
      </c>
      <c r="CR37" s="9">
        <v>6.69</v>
      </c>
      <c r="CS37" s="9">
        <f t="shared" si="0"/>
        <v>0.1115</v>
      </c>
      <c r="CT37" s="6">
        <f t="shared" si="1"/>
        <v>44.843049327354258</v>
      </c>
      <c r="CU37" s="6">
        <f t="shared" si="2"/>
        <v>11.245473885343275</v>
      </c>
      <c r="CX37" s="16">
        <v>10</v>
      </c>
      <c r="CY37" s="9">
        <v>7.3780000000000001</v>
      </c>
      <c r="CZ37" s="9">
        <f t="shared" ref="CZ37:CZ42" si="41">CY37/60</f>
        <v>0.12296666666666667</v>
      </c>
      <c r="DA37" s="6">
        <f t="shared" ref="DA37:DA42" si="42">5/CZ37</f>
        <v>40.661425860666846</v>
      </c>
      <c r="DB37" s="6">
        <f t="shared" ref="DB37:DB42" si="43">($FW$4-DA37)*(10^-3)/60*273.15*1000/(22.4*$B$11*$B$12)</f>
        <v>9.3450093678565391</v>
      </c>
      <c r="DE37" s="16">
        <v>10</v>
      </c>
      <c r="DF37" s="9">
        <v>7.4033333333333333</v>
      </c>
      <c r="DG37" s="9">
        <f t="shared" ref="DG37:DG42" si="44">DF37/60</f>
        <v>0.1233888888888889</v>
      </c>
      <c r="DH37" s="6">
        <f t="shared" ref="DH37:DH42" si="45">5/DG37</f>
        <v>40.522287257991891</v>
      </c>
      <c r="DI37" s="6">
        <f t="shared" ref="DI37:DI43" si="46">($GN$4-DH37)*(10^-3)/60*273.15*1000/(22.4*$B$11*$B$12)</f>
        <v>9.3267143549784599</v>
      </c>
    </row>
    <row r="38" spans="1:201" x14ac:dyDescent="0.3">
      <c r="P38">
        <f t="shared" si="32"/>
        <v>0.85516448314099114</v>
      </c>
      <c r="Q38">
        <f t="shared" si="33"/>
        <v>0.33333333333333331</v>
      </c>
      <c r="R38" s="6">
        <v>20</v>
      </c>
      <c r="S38" s="8">
        <f>W9</f>
        <v>14.047499999999999</v>
      </c>
      <c r="T38" s="9">
        <f t="shared" si="34"/>
        <v>0.234125</v>
      </c>
      <c r="U38" s="6">
        <f t="shared" si="35"/>
        <v>42.712226374799783</v>
      </c>
      <c r="V38" s="6">
        <f t="shared" si="3"/>
        <v>3.4528438851095342</v>
      </c>
      <c r="AB38">
        <f t="shared" si="36"/>
        <v>0.80388278676348535</v>
      </c>
      <c r="AC38">
        <f t="shared" si="37"/>
        <v>0.33333333333333331</v>
      </c>
      <c r="AD38" s="6">
        <v>20</v>
      </c>
      <c r="AE38" s="8">
        <f>AL9</f>
        <v>13.32</v>
      </c>
      <c r="AF38" s="9">
        <f t="shared" si="38"/>
        <v>0.222</v>
      </c>
      <c r="AG38" s="6">
        <f t="shared" si="39"/>
        <v>22.522522522522522</v>
      </c>
      <c r="AH38" s="6">
        <f t="shared" si="40"/>
        <v>13.098115516928488</v>
      </c>
      <c r="AR38">
        <f t="shared" si="4"/>
        <v>0.58418172299947324</v>
      </c>
      <c r="AS38">
        <f t="shared" si="5"/>
        <v>0.66666666666666663</v>
      </c>
      <c r="AT38" s="6">
        <v>40</v>
      </c>
      <c r="AU38" s="8">
        <f>BA11</f>
        <v>8.1574999999999989</v>
      </c>
      <c r="AV38" s="9">
        <f t="shared" si="6"/>
        <v>0.13595833333333332</v>
      </c>
      <c r="AW38" s="6">
        <f t="shared" si="7"/>
        <v>36.775973030953111</v>
      </c>
      <c r="AX38" s="6">
        <f t="shared" si="8"/>
        <v>11.041130237871501</v>
      </c>
      <c r="AZ38">
        <f t="shared" si="9"/>
        <v>0.5</v>
      </c>
      <c r="BA38" s="7">
        <v>30</v>
      </c>
      <c r="BB38" s="8">
        <v>8.3439999999999994</v>
      </c>
      <c r="BC38" s="9">
        <f t="shared" si="10"/>
        <v>0.13906666666666664</v>
      </c>
      <c r="BD38" s="6">
        <f t="shared" si="11"/>
        <v>35.953978906999048</v>
      </c>
      <c r="BE38" s="6">
        <f t="shared" si="12"/>
        <v>11.613020523454576</v>
      </c>
      <c r="BG38">
        <f t="shared" si="13"/>
        <v>0.66666666666666663</v>
      </c>
      <c r="BH38" s="7">
        <v>40</v>
      </c>
      <c r="BI38" s="8">
        <v>7.7700000000000005</v>
      </c>
      <c r="BJ38" s="9">
        <f t="shared" si="14"/>
        <v>0.1295</v>
      </c>
      <c r="BK38" s="6">
        <f t="shared" si="15"/>
        <v>38.610038610038607</v>
      </c>
      <c r="BL38" s="6">
        <f t="shared" si="16"/>
        <v>10.179944099245175</v>
      </c>
      <c r="BN38">
        <f t="shared" si="17"/>
        <v>0.83333333333333337</v>
      </c>
      <c r="BO38" s="7">
        <v>50</v>
      </c>
      <c r="BP38" s="8">
        <v>7.4580000000000002</v>
      </c>
      <c r="BQ38" s="9">
        <f t="shared" si="18"/>
        <v>0.12430000000000001</v>
      </c>
      <c r="BR38" s="6">
        <f t="shared" si="19"/>
        <v>40.225261464199512</v>
      </c>
      <c r="BS38" s="6">
        <f t="shared" si="20"/>
        <v>9.3832679475045939</v>
      </c>
      <c r="BU38">
        <f t="shared" si="21"/>
        <v>0.66666666666666663</v>
      </c>
      <c r="BV38" s="7">
        <v>40</v>
      </c>
      <c r="BW38" s="8">
        <v>7.6599999999999993</v>
      </c>
      <c r="BX38" s="9">
        <f t="shared" si="22"/>
        <v>0.12766666666666665</v>
      </c>
      <c r="BY38" s="6">
        <f t="shared" si="23"/>
        <v>39.164490861618802</v>
      </c>
      <c r="BZ38" s="6">
        <f t="shared" si="24"/>
        <v>9.9640167804956921</v>
      </c>
      <c r="CB38">
        <f t="shared" si="25"/>
        <v>0.66666666666666663</v>
      </c>
      <c r="CC38" s="7">
        <v>40</v>
      </c>
      <c r="CD38" s="8">
        <v>7.6779999999999999</v>
      </c>
      <c r="CE38" s="9">
        <f t="shared" si="26"/>
        <v>0.12796666666666667</v>
      </c>
      <c r="CF38" s="6">
        <f t="shared" si="27"/>
        <v>39.072675175827037</v>
      </c>
      <c r="CG38" s="6">
        <f t="shared" si="28"/>
        <v>10.108973891127574</v>
      </c>
      <c r="CI38" s="16">
        <v>40</v>
      </c>
      <c r="CJ38" s="9">
        <v>6.6020000000000012</v>
      </c>
      <c r="CK38" s="9">
        <f t="shared" si="29"/>
        <v>0.11003333333333336</v>
      </c>
      <c r="CL38" s="6">
        <f t="shared" si="30"/>
        <v>45.440775522568906</v>
      </c>
      <c r="CM38" s="6">
        <f t="shared" si="31"/>
        <v>6.8615242843153945</v>
      </c>
      <c r="CQ38" s="16">
        <v>40</v>
      </c>
      <c r="CR38" s="9">
        <v>6.3259999999999996</v>
      </c>
      <c r="CS38" s="9">
        <f t="shared" si="0"/>
        <v>0.10543333333333332</v>
      </c>
      <c r="CT38" s="6">
        <f t="shared" si="1"/>
        <v>47.423332279481507</v>
      </c>
      <c r="CU38" s="6">
        <f t="shared" si="2"/>
        <v>9.3272765946735685</v>
      </c>
      <c r="CX38" s="16">
        <v>20</v>
      </c>
      <c r="CY38" s="9">
        <v>7.06</v>
      </c>
      <c r="CZ38" s="9">
        <f t="shared" si="41"/>
        <v>0.11766666666666666</v>
      </c>
      <c r="DA38" s="6">
        <f t="shared" si="42"/>
        <v>42.492917847025502</v>
      </c>
      <c r="DB38" s="6">
        <f t="shared" si="43"/>
        <v>8.4659878343096526</v>
      </c>
      <c r="DE38" s="16">
        <v>20</v>
      </c>
      <c r="DF38" s="9">
        <v>7.0659999999999998</v>
      </c>
      <c r="DG38" s="9">
        <f t="shared" si="44"/>
        <v>0.11776666666666666</v>
      </c>
      <c r="DH38" s="6">
        <f t="shared" si="45"/>
        <v>42.456835550523635</v>
      </c>
      <c r="DI38" s="6">
        <f t="shared" si="46"/>
        <v>8.3982311186402594</v>
      </c>
    </row>
    <row r="39" spans="1:201" x14ac:dyDescent="0.3">
      <c r="P39">
        <f t="shared" si="32"/>
        <v>0.77034128236058264</v>
      </c>
      <c r="Q39">
        <f t="shared" si="33"/>
        <v>0.5</v>
      </c>
      <c r="R39" s="6">
        <v>30</v>
      </c>
      <c r="S39" s="8">
        <f>W11</f>
        <v>13.816666666666668</v>
      </c>
      <c r="T39" s="9">
        <f t="shared" si="34"/>
        <v>0.2302777777777778</v>
      </c>
      <c r="U39" s="6">
        <f t="shared" si="35"/>
        <v>43.425814234016883</v>
      </c>
      <c r="V39" s="6">
        <f t="shared" si="3"/>
        <v>3.1103585785936363</v>
      </c>
      <c r="AB39">
        <f t="shared" si="36"/>
        <v>0.67476671610565753</v>
      </c>
      <c r="AC39">
        <f t="shared" si="37"/>
        <v>0.5</v>
      </c>
      <c r="AD39" s="6">
        <v>30</v>
      </c>
      <c r="AE39" s="8">
        <f>AL11</f>
        <v>11.150000000000002</v>
      </c>
      <c r="AF39" s="9">
        <f t="shared" si="38"/>
        <v>0.18583333333333338</v>
      </c>
      <c r="AG39" s="6">
        <f t="shared" si="39"/>
        <v>26.905829596412548</v>
      </c>
      <c r="AH39" s="6">
        <f t="shared" si="40"/>
        <v>10.994354575141212</v>
      </c>
      <c r="AR39">
        <f t="shared" si="4"/>
        <v>0.4135845098828162</v>
      </c>
      <c r="AS39">
        <f t="shared" si="5"/>
        <v>1.1666666666666667</v>
      </c>
      <c r="AT39" s="7">
        <v>70</v>
      </c>
      <c r="AU39" s="8">
        <f>BA13</f>
        <v>6.8975000000000009</v>
      </c>
      <c r="AV39" s="9">
        <f t="shared" si="6"/>
        <v>0.11495833333333334</v>
      </c>
      <c r="AW39" s="6">
        <f t="shared" si="7"/>
        <v>43.494019572308801</v>
      </c>
      <c r="AX39" s="6">
        <f t="shared" si="8"/>
        <v>7.8168149707527643</v>
      </c>
      <c r="AZ39">
        <f t="shared" si="9"/>
        <v>0.66666666666666663</v>
      </c>
      <c r="BA39" s="7">
        <v>40</v>
      </c>
      <c r="BB39" s="8">
        <v>7.8650000000000002</v>
      </c>
      <c r="BC39" s="9">
        <f t="shared" si="10"/>
        <v>0.13108333333333333</v>
      </c>
      <c r="BD39" s="6">
        <f t="shared" si="11"/>
        <v>38.14367450731087</v>
      </c>
      <c r="BE39" s="6">
        <f t="shared" si="12"/>
        <v>10.562079760992489</v>
      </c>
      <c r="BG39">
        <f t="shared" si="13"/>
        <v>1</v>
      </c>
      <c r="BH39" s="7">
        <v>60</v>
      </c>
      <c r="BI39" s="8">
        <v>6.9879999999999995</v>
      </c>
      <c r="BJ39" s="9">
        <f t="shared" si="14"/>
        <v>0.11646666666666666</v>
      </c>
      <c r="BK39" s="6">
        <f t="shared" si="15"/>
        <v>42.930738408700634</v>
      </c>
      <c r="BL39" s="6">
        <f t="shared" si="16"/>
        <v>8.1062314151035846</v>
      </c>
      <c r="BN39">
        <f t="shared" si="17"/>
        <v>1.3333333333333333</v>
      </c>
      <c r="BO39" s="7">
        <v>80</v>
      </c>
      <c r="BP39" s="8">
        <v>6.5200000000000005</v>
      </c>
      <c r="BQ39" s="9">
        <f t="shared" si="18"/>
        <v>0.10866666666666668</v>
      </c>
      <c r="BR39" s="6">
        <f t="shared" si="19"/>
        <v>46.012269938650306</v>
      </c>
      <c r="BS39" s="6">
        <f t="shared" si="20"/>
        <v>6.6058028525170522</v>
      </c>
      <c r="BU39">
        <f t="shared" si="21"/>
        <v>1.1666666666666667</v>
      </c>
      <c r="BV39" s="7">
        <v>70</v>
      </c>
      <c r="BW39" s="8">
        <v>6.5359999999999996</v>
      </c>
      <c r="BX39" s="9">
        <f t="shared" si="22"/>
        <v>0.10893333333333333</v>
      </c>
      <c r="BY39" s="6">
        <f t="shared" si="23"/>
        <v>45.899632802937582</v>
      </c>
      <c r="BZ39" s="6">
        <f t="shared" si="24"/>
        <v>6.7314966045899789</v>
      </c>
      <c r="CB39">
        <f t="shared" si="25"/>
        <v>1.1666666666666667</v>
      </c>
      <c r="CC39" s="7">
        <v>70</v>
      </c>
      <c r="CD39" s="8">
        <v>6.6319999999999997</v>
      </c>
      <c r="CE39" s="9">
        <f t="shared" si="26"/>
        <v>0.11053333333333333</v>
      </c>
      <c r="CF39" s="6">
        <f t="shared" si="27"/>
        <v>45.235223160434259</v>
      </c>
      <c r="CG39" s="6">
        <f t="shared" si="28"/>
        <v>7.1512692326672695</v>
      </c>
      <c r="CI39" s="16">
        <v>70</v>
      </c>
      <c r="CJ39" s="9">
        <v>6.0760000000000005</v>
      </c>
      <c r="CK39" s="9">
        <f t="shared" si="29"/>
        <v>0.10126666666666667</v>
      </c>
      <c r="CL39" s="6">
        <f t="shared" si="30"/>
        <v>49.374588545095456</v>
      </c>
      <c r="CM39" s="6">
        <f t="shared" si="31"/>
        <v>4.9734972650855935</v>
      </c>
      <c r="CQ39" s="16">
        <v>70</v>
      </c>
      <c r="CR39" s="9">
        <v>6.0379999999999994</v>
      </c>
      <c r="CS39" s="9">
        <f t="shared" si="0"/>
        <v>0.10063333333333332</v>
      </c>
      <c r="CT39" s="6">
        <f t="shared" si="1"/>
        <v>49.685326266975821</v>
      </c>
      <c r="CU39" s="6">
        <f t="shared" si="2"/>
        <v>7.6456971637256474</v>
      </c>
      <c r="CX39" s="16">
        <v>40</v>
      </c>
      <c r="CY39" s="9">
        <v>6.5839999999999987</v>
      </c>
      <c r="CZ39" s="9">
        <f t="shared" si="41"/>
        <v>0.10973333333333331</v>
      </c>
      <c r="DA39" s="6">
        <f t="shared" si="42"/>
        <v>45.565006075334153</v>
      </c>
      <c r="DB39" s="6">
        <f t="shared" si="43"/>
        <v>6.9915441972352887</v>
      </c>
      <c r="DE39" s="16">
        <v>40</v>
      </c>
      <c r="DF39" s="9">
        <v>6.5039999999999996</v>
      </c>
      <c r="DG39" s="9">
        <f t="shared" si="44"/>
        <v>0.1084</v>
      </c>
      <c r="DH39" s="6">
        <f t="shared" si="45"/>
        <v>46.125461254612546</v>
      </c>
      <c r="DI39" s="6">
        <f t="shared" si="46"/>
        <v>6.6374803119554535</v>
      </c>
    </row>
    <row r="40" spans="1:201" x14ac:dyDescent="0.3">
      <c r="P40">
        <f t="shared" si="32"/>
        <v>0.6718585677488158</v>
      </c>
      <c r="Q40">
        <f t="shared" si="33"/>
        <v>0.66666666666666663</v>
      </c>
      <c r="R40" s="7">
        <v>40</v>
      </c>
      <c r="S40" s="8">
        <f>W13</f>
        <v>13.557999999999998</v>
      </c>
      <c r="T40" s="9">
        <f t="shared" si="34"/>
        <v>0.22596666666666662</v>
      </c>
      <c r="U40" s="6">
        <f t="shared" si="35"/>
        <v>44.254314795692586</v>
      </c>
      <c r="V40" s="6">
        <f t="shared" si="3"/>
        <v>2.7127211116033672</v>
      </c>
      <c r="AB40">
        <f t="shared" si="36"/>
        <v>0.59839546335001392</v>
      </c>
      <c r="AC40">
        <f t="shared" si="37"/>
        <v>0.66666666666666663</v>
      </c>
      <c r="AD40" s="7">
        <v>40</v>
      </c>
      <c r="AE40" s="8">
        <f>AL13</f>
        <v>10.17</v>
      </c>
      <c r="AF40" s="9">
        <f t="shared" si="38"/>
        <v>0.16950000000000001</v>
      </c>
      <c r="AG40" s="6">
        <f t="shared" si="39"/>
        <v>29.498525073746311</v>
      </c>
      <c r="AH40" s="6">
        <f t="shared" si="40"/>
        <v>9.7499946917888742</v>
      </c>
      <c r="AR40">
        <f t="shared" si="4"/>
        <v>0.32118287109747751</v>
      </c>
      <c r="AS40">
        <f t="shared" si="5"/>
        <v>1.6666666666666667</v>
      </c>
      <c r="AT40" s="7">
        <v>100</v>
      </c>
      <c r="AU40" s="8">
        <f>BA15</f>
        <v>6.3650000000000002</v>
      </c>
      <c r="AV40" s="9">
        <f t="shared" si="6"/>
        <v>0.10608333333333334</v>
      </c>
      <c r="AW40" s="6">
        <f t="shared" si="7"/>
        <v>47.132757266300075</v>
      </c>
      <c r="AX40" s="6">
        <f t="shared" si="8"/>
        <v>6.07040886481815</v>
      </c>
      <c r="AZ40">
        <f t="shared" si="9"/>
        <v>1</v>
      </c>
      <c r="BA40" s="7">
        <v>60</v>
      </c>
      <c r="BB40" s="8">
        <v>7.1050000000000004</v>
      </c>
      <c r="BC40" s="9">
        <f t="shared" si="10"/>
        <v>0.11841666666666667</v>
      </c>
      <c r="BD40" s="6">
        <f t="shared" si="11"/>
        <v>42.223786066150595</v>
      </c>
      <c r="BE40" s="6">
        <f t="shared" si="12"/>
        <v>8.6038370025164816</v>
      </c>
      <c r="BG40">
        <f t="shared" si="13"/>
        <v>1.5</v>
      </c>
      <c r="BH40" s="7">
        <v>90</v>
      </c>
      <c r="BI40" s="8">
        <v>6.4540000000000006</v>
      </c>
      <c r="BJ40" s="9">
        <f t="shared" si="14"/>
        <v>0.10756666666666667</v>
      </c>
      <c r="BK40" s="6">
        <f t="shared" si="15"/>
        <v>46.482801363495504</v>
      </c>
      <c r="BL40" s="6">
        <f t="shared" si="16"/>
        <v>6.4014247061282106</v>
      </c>
      <c r="BN40">
        <f t="shared" si="17"/>
        <v>1.8333333333333333</v>
      </c>
      <c r="BO40" s="7">
        <v>110</v>
      </c>
      <c r="BP40" s="8">
        <v>5.9480000000000004</v>
      </c>
      <c r="BQ40" s="9">
        <f t="shared" si="18"/>
        <v>9.9133333333333337E-2</v>
      </c>
      <c r="BR40" s="6">
        <f t="shared" si="19"/>
        <v>50.437121721587083</v>
      </c>
      <c r="BS40" s="6">
        <f t="shared" si="20"/>
        <v>4.4821025967010915</v>
      </c>
      <c r="BU40">
        <f t="shared" si="21"/>
        <v>1.6666666666666667</v>
      </c>
      <c r="BV40" s="7">
        <v>100</v>
      </c>
      <c r="BW40" s="8">
        <v>6.0200000000000005</v>
      </c>
      <c r="BX40" s="9">
        <f t="shared" si="22"/>
        <v>0.10033333333333334</v>
      </c>
      <c r="BY40" s="6">
        <f t="shared" si="23"/>
        <v>49.833887043189364</v>
      </c>
      <c r="BZ40" s="6">
        <f t="shared" si="24"/>
        <v>4.8432578236465842</v>
      </c>
      <c r="CB40">
        <f t="shared" si="25"/>
        <v>1.6666666666666667</v>
      </c>
      <c r="CC40" s="7">
        <v>100</v>
      </c>
      <c r="CD40" s="8">
        <v>6.1180000000000003</v>
      </c>
      <c r="CE40" s="9">
        <f t="shared" si="26"/>
        <v>0.10196666666666668</v>
      </c>
      <c r="CF40" s="6">
        <f t="shared" si="27"/>
        <v>49.035632559660016</v>
      </c>
      <c r="CG40" s="6">
        <f t="shared" si="28"/>
        <v>5.3272690606243431</v>
      </c>
      <c r="CI40" s="16">
        <v>100</v>
      </c>
      <c r="CJ40" s="9">
        <v>5.8</v>
      </c>
      <c r="CK40" s="9">
        <f t="shared" si="29"/>
        <v>9.6666666666666665E-2</v>
      </c>
      <c r="CL40" s="6">
        <f t="shared" si="30"/>
        <v>51.724137931034484</v>
      </c>
      <c r="CM40" s="6">
        <f t="shared" si="31"/>
        <v>3.8458349440079695</v>
      </c>
      <c r="CQ40" s="16">
        <v>100</v>
      </c>
      <c r="CR40" s="9">
        <v>5.8066666666666675</v>
      </c>
      <c r="CS40" s="9">
        <f t="shared" si="0"/>
        <v>9.6777777777777796E-2</v>
      </c>
      <c r="CT40" s="6">
        <f t="shared" si="1"/>
        <v>51.664753157290463</v>
      </c>
      <c r="CU40" s="6">
        <f t="shared" si="2"/>
        <v>6.174179749346723</v>
      </c>
      <c r="CX40" s="16">
        <v>60</v>
      </c>
      <c r="CY40" s="9">
        <v>6.1659999999999995</v>
      </c>
      <c r="CZ40" s="9">
        <f t="shared" si="41"/>
        <v>0.10276666666666666</v>
      </c>
      <c r="DA40" s="6">
        <f t="shared" si="42"/>
        <v>48.653908530651968</v>
      </c>
      <c r="DB40" s="6">
        <f t="shared" si="43"/>
        <v>5.5090305998656648</v>
      </c>
      <c r="DE40" s="16">
        <v>60</v>
      </c>
      <c r="DF40" s="9">
        <v>6.2899999999999991</v>
      </c>
      <c r="DG40" s="9">
        <f t="shared" si="44"/>
        <v>0.10483333333333332</v>
      </c>
      <c r="DH40" s="6">
        <f t="shared" si="45"/>
        <v>47.694753577106525</v>
      </c>
      <c r="DI40" s="6">
        <f t="shared" si="46"/>
        <v>5.8843010711089789</v>
      </c>
    </row>
    <row r="41" spans="1:201" x14ac:dyDescent="0.3">
      <c r="P41">
        <f t="shared" si="32"/>
        <v>0.56981376518218585</v>
      </c>
      <c r="Q41">
        <f t="shared" si="33"/>
        <v>1</v>
      </c>
      <c r="R41" s="7">
        <v>60</v>
      </c>
      <c r="S41" s="8">
        <f>W15</f>
        <v>13.3</v>
      </c>
      <c r="T41" s="9">
        <f t="shared" si="34"/>
        <v>0.22166666666666668</v>
      </c>
      <c r="U41" s="6">
        <f t="shared" si="35"/>
        <v>45.112781954887218</v>
      </c>
      <c r="V41" s="6">
        <f t="shared" si="3"/>
        <v>2.3007012259607276</v>
      </c>
      <c r="AB41">
        <f t="shared" si="36"/>
        <v>0.52888203737242812</v>
      </c>
      <c r="AC41">
        <f t="shared" si="37"/>
        <v>0.83333333333333337</v>
      </c>
      <c r="AD41" s="7">
        <v>50</v>
      </c>
      <c r="AE41" s="8">
        <f>AL15</f>
        <v>9.4166666666666661</v>
      </c>
      <c r="AF41" s="9">
        <f t="shared" si="38"/>
        <v>0.15694444444444444</v>
      </c>
      <c r="AG41" s="6">
        <f t="shared" si="39"/>
        <v>31.858407079646017</v>
      </c>
      <c r="AH41" s="6">
        <f t="shared" si="40"/>
        <v>8.6173732469416446</v>
      </c>
      <c r="AR41">
        <f t="shared" si="4"/>
        <v>0.27732314474601566</v>
      </c>
      <c r="AS41">
        <f t="shared" si="5"/>
        <v>2.1666666666666665</v>
      </c>
      <c r="AT41" s="7">
        <v>130</v>
      </c>
      <c r="AU41" s="8">
        <f>BA17</f>
        <v>6.14</v>
      </c>
      <c r="AV41" s="9">
        <f t="shared" si="6"/>
        <v>0.10233333333333333</v>
      </c>
      <c r="AW41" s="6">
        <f t="shared" si="7"/>
        <v>48.859934853420199</v>
      </c>
      <c r="AX41" s="6">
        <f t="shared" si="8"/>
        <v>5.2414528537374485</v>
      </c>
      <c r="AZ41">
        <f t="shared" si="9"/>
        <v>1.3333333333333333</v>
      </c>
      <c r="BA41" s="7">
        <v>80</v>
      </c>
      <c r="BB41" s="8">
        <v>6.5349999999999993</v>
      </c>
      <c r="BC41" s="9">
        <f t="shared" si="10"/>
        <v>0.10891666666666665</v>
      </c>
      <c r="BD41" s="6">
        <f t="shared" si="11"/>
        <v>45.90665646518746</v>
      </c>
      <c r="BE41" s="6">
        <f t="shared" si="12"/>
        <v>6.8362494781767147</v>
      </c>
      <c r="BG41">
        <f t="shared" si="13"/>
        <v>2</v>
      </c>
      <c r="BH41" s="7">
        <v>120</v>
      </c>
      <c r="BI41" s="8">
        <v>5.8674999999999997</v>
      </c>
      <c r="BJ41" s="9">
        <f t="shared" si="14"/>
        <v>9.7791666666666666E-2</v>
      </c>
      <c r="BK41" s="6">
        <f t="shared" si="15"/>
        <v>51.129100979974439</v>
      </c>
      <c r="BL41" s="6">
        <f t="shared" si="16"/>
        <v>4.1714409308151872</v>
      </c>
      <c r="BN41">
        <f t="shared" si="17"/>
        <v>2.3333333333333335</v>
      </c>
      <c r="BO41" s="7">
        <v>140</v>
      </c>
      <c r="BP41" s="8">
        <v>5.8120000000000003</v>
      </c>
      <c r="BQ41" s="9">
        <f t="shared" si="18"/>
        <v>9.686666666666667E-2</v>
      </c>
      <c r="BR41" s="6">
        <f t="shared" si="19"/>
        <v>51.617343427391603</v>
      </c>
      <c r="BS41" s="6">
        <f t="shared" si="20"/>
        <v>3.9156571514091172</v>
      </c>
      <c r="BU41">
        <f t="shared" si="21"/>
        <v>2.1666666666666665</v>
      </c>
      <c r="BV41" s="7">
        <v>130</v>
      </c>
      <c r="BW41" s="8">
        <v>5.75</v>
      </c>
      <c r="BX41" s="9">
        <f t="shared" si="22"/>
        <v>9.583333333333334E-2</v>
      </c>
      <c r="BY41" s="6">
        <f t="shared" si="23"/>
        <v>52.173913043478258</v>
      </c>
      <c r="BZ41" s="6">
        <f t="shared" si="24"/>
        <v>3.7201662356767708</v>
      </c>
      <c r="CB41">
        <f t="shared" si="25"/>
        <v>4.666666666666667</v>
      </c>
      <c r="CC41" s="7">
        <f>180+CC40</f>
        <v>280</v>
      </c>
      <c r="CD41" s="8">
        <v>5.5733333333333333</v>
      </c>
      <c r="CE41" s="9">
        <f t="shared" si="26"/>
        <v>9.2888888888888882E-2</v>
      </c>
      <c r="CF41" s="6">
        <f t="shared" si="27"/>
        <v>53.827751196172251</v>
      </c>
      <c r="CG41" s="6">
        <f t="shared" si="28"/>
        <v>3.0272996891063269</v>
      </c>
      <c r="CI41" s="16">
        <v>200</v>
      </c>
      <c r="CJ41" s="9">
        <v>5.4820000000000002</v>
      </c>
      <c r="CK41" s="9">
        <f t="shared" si="29"/>
        <v>9.1366666666666665E-2</v>
      </c>
      <c r="CL41" s="6">
        <f t="shared" si="30"/>
        <v>54.724553082816492</v>
      </c>
      <c r="CM41" s="6">
        <f t="shared" si="31"/>
        <v>2.4057906808384475</v>
      </c>
      <c r="CQ41" s="16">
        <v>300</v>
      </c>
      <c r="CR41" s="9">
        <v>5.3885714285714288</v>
      </c>
      <c r="CS41" s="9">
        <f t="shared" si="0"/>
        <v>8.9809523809523811E-2</v>
      </c>
      <c r="CT41" s="6">
        <f t="shared" si="1"/>
        <v>55.673382820784731</v>
      </c>
      <c r="CU41" s="6">
        <f t="shared" si="2"/>
        <v>3.1941412409832712</v>
      </c>
      <c r="CX41" s="16">
        <v>90</v>
      </c>
      <c r="CY41" s="9">
        <v>5.91</v>
      </c>
      <c r="CZ41" s="9">
        <f t="shared" si="41"/>
        <v>9.8500000000000004E-2</v>
      </c>
      <c r="DA41" s="6">
        <f t="shared" si="42"/>
        <v>50.761421319796952</v>
      </c>
      <c r="DB41" s="6">
        <f t="shared" si="43"/>
        <v>4.4975333409739626</v>
      </c>
      <c r="DE41" s="16">
        <v>90</v>
      </c>
      <c r="DF41" s="9">
        <v>5.9479999999999995</v>
      </c>
      <c r="DG41" s="9">
        <f t="shared" si="44"/>
        <v>9.9133333333333323E-2</v>
      </c>
      <c r="DH41" s="6">
        <f t="shared" si="45"/>
        <v>50.43712172158709</v>
      </c>
      <c r="DI41" s="6">
        <f t="shared" si="46"/>
        <v>4.5681060400271587</v>
      </c>
    </row>
    <row r="42" spans="1:201" x14ac:dyDescent="0.3">
      <c r="P42">
        <f t="shared" si="32"/>
        <v>0.48960552268244517</v>
      </c>
      <c r="Q42">
        <f t="shared" si="33"/>
        <v>1.3333333333333333</v>
      </c>
      <c r="R42" s="7">
        <v>80</v>
      </c>
      <c r="S42" s="8">
        <f>W17</f>
        <v>13.103999999999999</v>
      </c>
      <c r="T42" s="9">
        <f t="shared" si="34"/>
        <v>0.21839999999999998</v>
      </c>
      <c r="U42" s="6">
        <f t="shared" si="35"/>
        <v>45.787545787545788</v>
      </c>
      <c r="V42" s="6">
        <f t="shared" si="3"/>
        <v>1.9768494464371011</v>
      </c>
      <c r="AB42">
        <f t="shared" si="36"/>
        <v>0.50005253091127766</v>
      </c>
      <c r="AC42">
        <f t="shared" si="37"/>
        <v>1</v>
      </c>
      <c r="AD42" s="7">
        <v>60</v>
      </c>
      <c r="AE42" s="8">
        <f>AL17</f>
        <v>9.136000000000001</v>
      </c>
      <c r="AF42" s="9">
        <f t="shared" si="38"/>
        <v>0.15226666666666669</v>
      </c>
      <c r="AG42" s="6">
        <f t="shared" si="39"/>
        <v>32.83712784588441</v>
      </c>
      <c r="AH42" s="6">
        <f t="shared" si="40"/>
        <v>8.147637842549555</v>
      </c>
      <c r="AR42">
        <f t="shared" si="4"/>
        <v>0.1202382606060223</v>
      </c>
      <c r="AS42">
        <f t="shared" si="5"/>
        <v>19</v>
      </c>
      <c r="AT42" s="7">
        <v>1140</v>
      </c>
      <c r="AU42" s="8">
        <f>BA19</f>
        <v>5.45</v>
      </c>
      <c r="AV42" s="9">
        <f t="shared" si="6"/>
        <v>9.0833333333333335E-2</v>
      </c>
      <c r="AW42" s="6">
        <f t="shared" si="7"/>
        <v>55.045871559633028</v>
      </c>
      <c r="AX42" s="6">
        <f t="shared" si="8"/>
        <v>2.272522817232034</v>
      </c>
      <c r="BA42" s="7"/>
      <c r="BB42" s="8"/>
      <c r="BC42" s="9"/>
      <c r="BD42" s="6"/>
      <c r="BE42" s="6"/>
      <c r="BG42">
        <f t="shared" si="13"/>
        <v>2.5</v>
      </c>
      <c r="BH42" s="7">
        <v>150</v>
      </c>
      <c r="BI42" s="8">
        <v>5.8425000000000002</v>
      </c>
      <c r="BJ42" s="9">
        <f t="shared" si="14"/>
        <v>9.7375000000000003E-2</v>
      </c>
      <c r="BK42" s="6">
        <f t="shared" si="15"/>
        <v>51.347881899871631</v>
      </c>
      <c r="BL42" s="6">
        <f>($BZ$4-BK42)*(10^-3)/60*273.15*1000/(22.4*$B$11*$B$12)</f>
        <v>4.0664373920876269</v>
      </c>
      <c r="BN42">
        <f t="shared" si="17"/>
        <v>3</v>
      </c>
      <c r="BO42" s="7">
        <v>180</v>
      </c>
      <c r="BP42" s="8">
        <v>5.5739999999999998</v>
      </c>
      <c r="BQ42" s="9">
        <f t="shared" si="18"/>
        <v>9.2899999999999996E-2</v>
      </c>
      <c r="BR42" s="6">
        <f t="shared" si="19"/>
        <v>53.821313240043061</v>
      </c>
      <c r="BS42" s="6">
        <f t="shared" si="20"/>
        <v>2.8578655044690113</v>
      </c>
      <c r="BU42">
        <f t="shared" si="21"/>
        <v>3</v>
      </c>
      <c r="BV42" s="7">
        <v>180</v>
      </c>
      <c r="BW42" s="8">
        <v>5.7679999999999989</v>
      </c>
      <c r="BX42" s="9">
        <f t="shared" si="22"/>
        <v>9.6133333333333321E-2</v>
      </c>
      <c r="BY42" s="6">
        <f t="shared" si="23"/>
        <v>52.011095700416092</v>
      </c>
      <c r="BZ42" s="6">
        <f>($DF$4-BY42)*(10^-3)/60*273.15*1000/(22.4*$B$11*$B$12)</f>
        <v>3.7983101487555739</v>
      </c>
      <c r="CB42">
        <f t="shared" si="25"/>
        <v>18.666666666666668</v>
      </c>
      <c r="CC42" s="7">
        <f>14*60+CC41</f>
        <v>1120</v>
      </c>
      <c r="CD42">
        <v>5.3179999999999996</v>
      </c>
      <c r="CE42" s="9">
        <f t="shared" si="26"/>
        <v>8.8633333333333328E-2</v>
      </c>
      <c r="CF42" s="6">
        <f t="shared" si="27"/>
        <v>56.412185031966906</v>
      </c>
      <c r="CG42" s="6">
        <f t="shared" si="28"/>
        <v>1.7869049668736712</v>
      </c>
      <c r="CI42" s="16">
        <v>1150</v>
      </c>
      <c r="CJ42" s="9">
        <v>5.2680000000000007</v>
      </c>
      <c r="CK42" s="9">
        <f t="shared" si="29"/>
        <v>8.7800000000000017E-2</v>
      </c>
      <c r="CL42" s="6">
        <f t="shared" si="30"/>
        <v>56.947608200455569</v>
      </c>
      <c r="CM42" s="6">
        <f t="shared" si="31"/>
        <v>1.3388390735035474</v>
      </c>
      <c r="CQ42" s="16"/>
      <c r="CR42" s="9"/>
      <c r="CS42" s="9"/>
      <c r="CT42" s="6"/>
      <c r="CU42" s="6"/>
      <c r="CX42" s="16">
        <v>120</v>
      </c>
      <c r="CY42" s="9">
        <v>5.6820000000000004</v>
      </c>
      <c r="CZ42" s="9">
        <f t="shared" si="41"/>
        <v>9.4700000000000006E-2</v>
      </c>
      <c r="DA42" s="6">
        <f t="shared" si="42"/>
        <v>52.798310454065465</v>
      </c>
      <c r="DB42" s="6">
        <f t="shared" si="43"/>
        <v>3.5199317878110232</v>
      </c>
      <c r="DE42" s="16">
        <f>13*60</f>
        <v>780</v>
      </c>
      <c r="DF42" s="9">
        <v>5.2283333333333326</v>
      </c>
      <c r="DG42" s="9">
        <f t="shared" si="44"/>
        <v>8.7138888888888877E-2</v>
      </c>
      <c r="DH42" s="6">
        <f t="shared" si="45"/>
        <v>57.379662097545435</v>
      </c>
      <c r="DI42" s="6">
        <f t="shared" si="46"/>
        <v>1.2360453302671</v>
      </c>
    </row>
    <row r="43" spans="1:201" x14ac:dyDescent="0.3">
      <c r="P43">
        <f t="shared" si="32"/>
        <v>0.43549310804802061</v>
      </c>
      <c r="Q43">
        <f t="shared" si="33"/>
        <v>1.6666666666666667</v>
      </c>
      <c r="R43" s="7">
        <v>100</v>
      </c>
      <c r="S43" s="8">
        <f>W19</f>
        <v>12.975</v>
      </c>
      <c r="T43" s="9">
        <f t="shared" si="34"/>
        <v>0.21625</v>
      </c>
      <c r="U43" s="6">
        <f t="shared" si="35"/>
        <v>46.24277456647399</v>
      </c>
      <c r="V43" s="6">
        <f t="shared" si="3"/>
        <v>1.7583631509203359</v>
      </c>
      <c r="AB43">
        <f t="shared" si="36"/>
        <v>0.41904587675304028</v>
      </c>
      <c r="AC43">
        <f t="shared" si="37"/>
        <v>1.3333333333333333</v>
      </c>
      <c r="AD43" s="7">
        <v>80</v>
      </c>
      <c r="AE43" s="8">
        <f>AL19</f>
        <v>8.4300000000000015</v>
      </c>
      <c r="AF43" s="9">
        <f t="shared" si="38"/>
        <v>0.14050000000000001</v>
      </c>
      <c r="AG43" s="6">
        <f t="shared" si="39"/>
        <v>35.587188612099638</v>
      </c>
      <c r="AH43" s="6">
        <f t="shared" si="40"/>
        <v>6.82775075045706</v>
      </c>
      <c r="AT43" s="7"/>
      <c r="AU43" s="8"/>
      <c r="AV43" s="9"/>
      <c r="AW43" s="6"/>
      <c r="AX43" s="6"/>
      <c r="BA43" s="7"/>
      <c r="BB43" s="8"/>
      <c r="BC43" s="9"/>
      <c r="BD43" s="6"/>
      <c r="BE43" s="6"/>
      <c r="BH43" s="7"/>
      <c r="BI43" s="8"/>
      <c r="BJ43" s="9"/>
      <c r="BK43" s="6"/>
      <c r="BL43" s="6"/>
      <c r="BN43">
        <f t="shared" si="17"/>
        <v>4.25</v>
      </c>
      <c r="BO43" s="7">
        <v>255</v>
      </c>
      <c r="BP43" s="8">
        <v>5.5939999999999994</v>
      </c>
      <c r="BQ43" s="9">
        <f t="shared" si="18"/>
        <v>9.3233333333333321E-2</v>
      </c>
      <c r="BR43" s="6">
        <f t="shared" si="19"/>
        <v>53.628888094386852</v>
      </c>
      <c r="BS43" s="6">
        <f>($CQ$4-BR43)*(10^-3)/60*273.15*1000/(22.4*$B$11*$B$12)</f>
        <v>2.9502196331725696</v>
      </c>
      <c r="BV43" s="7"/>
      <c r="BW43" s="8"/>
      <c r="BX43" s="9"/>
      <c r="BY43" s="6"/>
      <c r="BZ43" s="6"/>
      <c r="CB43">
        <f t="shared" si="25"/>
        <v>23.666666666666668</v>
      </c>
      <c r="CC43" s="7">
        <f>60*5+CC42</f>
        <v>1420</v>
      </c>
      <c r="CD43" s="8">
        <v>5.2080000000000002</v>
      </c>
      <c r="CE43" s="9">
        <f t="shared" si="26"/>
        <v>8.6800000000000002E-2</v>
      </c>
      <c r="CF43" s="6">
        <f t="shared" si="27"/>
        <v>57.603686635944698</v>
      </c>
      <c r="CG43" s="6">
        <f t="shared" si="28"/>
        <v>1.2150457532090406</v>
      </c>
      <c r="CI43" s="7">
        <f>24*60</f>
        <v>1440</v>
      </c>
      <c r="CJ43" s="8">
        <v>5.242</v>
      </c>
      <c r="CK43" s="9">
        <f>CJ43/60</f>
        <v>8.7366666666666662E-2</v>
      </c>
      <c r="CL43" s="6">
        <f>5/CK43</f>
        <v>57.230064860740178</v>
      </c>
      <c r="CM43" s="6">
        <f t="shared" si="31"/>
        <v>1.2032744690536277</v>
      </c>
      <c r="CQ43" s="7"/>
      <c r="CR43" s="8"/>
      <c r="CS43" s="9"/>
      <c r="CT43" s="6"/>
      <c r="CU43" s="6"/>
      <c r="CX43" s="7">
        <f>CX42+60*4</f>
        <v>360</v>
      </c>
      <c r="CY43" s="9">
        <v>5.2840000000000007</v>
      </c>
      <c r="CZ43" s="9">
        <f>CY43/60</f>
        <v>8.8066666666666682E-2</v>
      </c>
      <c r="DA43" s="6">
        <f>5/CZ43</f>
        <v>56.775170325510963</v>
      </c>
      <c r="DB43" s="6">
        <f>($FW$4-DA43)*(10^-3)/60*273.15*1000/(22.4*$B$11*$B$12)</f>
        <v>1.6112445050185478</v>
      </c>
      <c r="DE43" s="7">
        <v>1020</v>
      </c>
      <c r="DF43" s="9">
        <v>5.1579999999999995</v>
      </c>
      <c r="DG43" s="9">
        <f t="shared" ref="DG43:DG50" si="47">DF43/60</f>
        <v>8.5966666666666663E-2</v>
      </c>
      <c r="DH43" s="6">
        <f t="shared" ref="DH43:DH50" si="48">5/DG43</f>
        <v>58.162078324932146</v>
      </c>
      <c r="DI43" s="6">
        <f t="shared" si="46"/>
        <v>0.86052596289228989</v>
      </c>
    </row>
    <row r="44" spans="1:201" x14ac:dyDescent="0.3">
      <c r="P44">
        <f t="shared" si="32"/>
        <v>0.39924568836903945</v>
      </c>
      <c r="Q44">
        <f t="shared" si="33"/>
        <v>2</v>
      </c>
      <c r="R44" s="7">
        <v>120</v>
      </c>
      <c r="S44" s="8">
        <f>W21</f>
        <v>12.89</v>
      </c>
      <c r="T44" s="9">
        <f t="shared" si="34"/>
        <v>0.21483333333333335</v>
      </c>
      <c r="U44" s="6">
        <f t="shared" si="35"/>
        <v>46.547711404189293</v>
      </c>
      <c r="V44" s="6">
        <f t="shared" si="3"/>
        <v>1.6120092226913796</v>
      </c>
      <c r="AB44">
        <f t="shared" si="36"/>
        <v>0.39941065635979489</v>
      </c>
      <c r="AC44">
        <f t="shared" si="37"/>
        <v>1.8333333333333333</v>
      </c>
      <c r="AD44" s="7">
        <v>110</v>
      </c>
      <c r="AE44" s="8">
        <f>AL21</f>
        <v>8.2750000000000004</v>
      </c>
      <c r="AF44" s="9">
        <f t="shared" si="38"/>
        <v>0.13791666666666666</v>
      </c>
      <c r="AG44" s="6">
        <f t="shared" si="39"/>
        <v>36.253776435045317</v>
      </c>
      <c r="AH44" s="6">
        <f t="shared" si="40"/>
        <v>6.5078230332005074</v>
      </c>
      <c r="AT44" s="7"/>
      <c r="AU44" s="8"/>
      <c r="AV44" s="9"/>
      <c r="AW44" s="6"/>
      <c r="AX44" s="6"/>
      <c r="BA44" s="7"/>
      <c r="BB44" s="8"/>
      <c r="BC44" s="9"/>
      <c r="BD44" s="6"/>
      <c r="BE44" s="6"/>
      <c r="BH44" s="7"/>
      <c r="BI44" s="8"/>
      <c r="BJ44" s="9"/>
      <c r="BK44" s="6"/>
      <c r="BL44" s="6"/>
      <c r="BO44" s="7"/>
      <c r="BP44" s="8"/>
      <c r="BQ44" s="9"/>
      <c r="BR44" s="6"/>
      <c r="BS44" s="6"/>
      <c r="BV44" s="7"/>
      <c r="BW44" s="8"/>
      <c r="BX44" s="9"/>
      <c r="BY44" s="6"/>
      <c r="BZ44" s="6"/>
      <c r="CB44">
        <f t="shared" si="25"/>
        <v>25.666666666666668</v>
      </c>
      <c r="CC44" s="7">
        <f>120+CC43</f>
        <v>1540</v>
      </c>
      <c r="CD44" s="8">
        <v>5.1959999999999997</v>
      </c>
      <c r="CE44" s="9">
        <f t="shared" si="26"/>
        <v>8.6599999999999996E-2</v>
      </c>
      <c r="CF44" s="6">
        <f t="shared" si="27"/>
        <v>57.736720554272523</v>
      </c>
      <c r="CG44" s="6">
        <f t="shared" si="28"/>
        <v>1.1511963453092147</v>
      </c>
      <c r="CI44" s="7">
        <v>2860</v>
      </c>
      <c r="CJ44" s="8">
        <v>5.0960000000000001</v>
      </c>
      <c r="CK44" s="9">
        <f>CJ44/60</f>
        <v>8.4933333333333333E-2</v>
      </c>
      <c r="CL44" s="6">
        <f>5/CK44</f>
        <v>58.869701726844582</v>
      </c>
      <c r="CM44" s="6">
        <f t="shared" si="31"/>
        <v>0.41633348146643812</v>
      </c>
      <c r="CQ44" s="7"/>
      <c r="CR44" s="8"/>
      <c r="CS44" s="9"/>
      <c r="CT44" s="6"/>
      <c r="CU44" s="6"/>
      <c r="CX44" s="7">
        <v>600</v>
      </c>
      <c r="CY44" s="8">
        <v>5.2099999999999991</v>
      </c>
      <c r="CZ44" s="9">
        <f>CY44/60</f>
        <v>8.6833333333333318E-2</v>
      </c>
      <c r="DA44" s="6">
        <f>5/CZ44</f>
        <v>57.581573896353177</v>
      </c>
      <c r="DB44" s="6">
        <f>($FW$4-DA44)*(10^-3)/60*273.15*1000/(22.4*$B$11*$B$12)</f>
        <v>1.2242124520371283</v>
      </c>
      <c r="DE44" s="7">
        <v>1260</v>
      </c>
      <c r="DF44" s="8">
        <v>5.1616666666666662</v>
      </c>
      <c r="DG44" s="9">
        <f t="shared" si="47"/>
        <v>8.6027777777777772E-2</v>
      </c>
      <c r="DH44" s="6">
        <f t="shared" si="48"/>
        <v>58.120762027768812</v>
      </c>
      <c r="DI44" s="6">
        <f t="shared" ref="DI44:DI50" si="49">($GN$4-DH44)*(10^-3)/60*273.15*1000/(22.4*$B$11*$B$12)</f>
        <v>0.88035565101732471</v>
      </c>
    </row>
    <row r="45" spans="1:201" x14ac:dyDescent="0.3">
      <c r="P45">
        <f t="shared" si="32"/>
        <v>0.36990173139915633</v>
      </c>
      <c r="Q45">
        <f t="shared" si="33"/>
        <v>2.3333333333333335</v>
      </c>
      <c r="R45" s="7">
        <v>140</v>
      </c>
      <c r="S45" s="8">
        <f>W23</f>
        <v>12.821999999999999</v>
      </c>
      <c r="T45" s="9">
        <f t="shared" si="34"/>
        <v>0.21369999999999997</v>
      </c>
      <c r="U45" s="6">
        <f t="shared" si="35"/>
        <v>46.794571829667767</v>
      </c>
      <c r="V45" s="6">
        <f t="shared" si="3"/>
        <v>1.4935289719491682</v>
      </c>
      <c r="AB45">
        <f t="shared" si="36"/>
        <v>0.44016556113447103</v>
      </c>
      <c r="AC45">
        <f t="shared" si="37"/>
        <v>2.3333333333333335</v>
      </c>
      <c r="AD45" s="7">
        <v>140</v>
      </c>
      <c r="AE45" s="8">
        <f>AL23</f>
        <v>8.6033333333333335</v>
      </c>
      <c r="AF45" s="9">
        <f t="shared" si="38"/>
        <v>0.1433888888888889</v>
      </c>
      <c r="AG45" s="6">
        <f t="shared" si="39"/>
        <v>34.87020534676482</v>
      </c>
      <c r="AH45" s="6">
        <f t="shared" si="40"/>
        <v>7.1718656764934581</v>
      </c>
      <c r="AT45" s="7"/>
      <c r="AU45" s="8"/>
      <c r="AV45" s="9"/>
      <c r="AW45" s="6"/>
      <c r="AX45" s="6"/>
      <c r="BA45" s="7"/>
      <c r="BB45" s="8"/>
      <c r="BC45" s="9"/>
      <c r="BD45" s="6"/>
      <c r="BE45" s="6"/>
      <c r="BH45" s="7"/>
      <c r="BI45" s="8"/>
      <c r="BJ45" s="9"/>
      <c r="BK45" s="6"/>
      <c r="BL45" s="6"/>
      <c r="BO45" s="7"/>
      <c r="BP45" s="8"/>
      <c r="BQ45" s="9"/>
      <c r="BR45" s="6"/>
      <c r="BS45" s="6"/>
      <c r="BV45" s="7"/>
      <c r="BW45" s="8"/>
      <c r="BX45" s="9"/>
      <c r="BY45" s="6"/>
      <c r="BZ45" s="6"/>
      <c r="CB45">
        <f t="shared" si="25"/>
        <v>40.916666666666664</v>
      </c>
      <c r="CC45" s="6">
        <f>1035+CC43</f>
        <v>2455</v>
      </c>
      <c r="CD45" s="8">
        <v>5.1859999999999999</v>
      </c>
      <c r="CE45" s="9">
        <f t="shared" si="26"/>
        <v>8.6433333333333334E-2</v>
      </c>
      <c r="CF45" s="6">
        <f t="shared" si="27"/>
        <v>57.848052448900887</v>
      </c>
      <c r="CG45" s="6">
        <f t="shared" si="28"/>
        <v>1.0977627875989922</v>
      </c>
      <c r="CI45" s="6">
        <v>3050</v>
      </c>
      <c r="CJ45" s="8">
        <v>5.1019999999999994</v>
      </c>
      <c r="CK45" s="9">
        <f>CJ45/60</f>
        <v>8.5033333333333322E-2</v>
      </c>
      <c r="CL45" s="6">
        <f>5/CK45</f>
        <v>58.800470403763235</v>
      </c>
      <c r="CM45" s="6">
        <f t="shared" si="31"/>
        <v>0.44956093986522588</v>
      </c>
      <c r="CQ45" s="6"/>
      <c r="CR45" s="8"/>
      <c r="CS45" s="9"/>
      <c r="CT45" s="6"/>
      <c r="CU45" s="6"/>
      <c r="CX45" s="7"/>
      <c r="CY45" s="8"/>
      <c r="CZ45" s="9"/>
      <c r="DA45" s="6"/>
      <c r="DB45" s="6"/>
      <c r="DE45" s="7">
        <v>1500</v>
      </c>
      <c r="DF45" s="8">
        <v>5.1416666666666666</v>
      </c>
      <c r="DG45" s="9">
        <f t="shared" si="47"/>
        <v>8.5694444444444448E-2</v>
      </c>
      <c r="DH45" s="6">
        <f t="shared" si="48"/>
        <v>58.346839546191248</v>
      </c>
      <c r="DI45" s="6">
        <f t="shared" si="49"/>
        <v>0.77185012195996328</v>
      </c>
    </row>
    <row r="46" spans="1:201" x14ac:dyDescent="0.3">
      <c r="P46">
        <f t="shared" si="32"/>
        <v>0.33043551814071498</v>
      </c>
      <c r="Q46">
        <f t="shared" si="33"/>
        <v>2.6666666666666665</v>
      </c>
      <c r="R46" s="7">
        <v>160</v>
      </c>
      <c r="S46" s="8">
        <f>W25</f>
        <v>12.731666666666667</v>
      </c>
      <c r="T46" s="9">
        <f t="shared" si="34"/>
        <v>0.21219444444444446</v>
      </c>
      <c r="U46" s="6">
        <f t="shared" si="35"/>
        <v>47.126587249640004</v>
      </c>
      <c r="V46" s="6">
        <f>($R$4-U46)*(10^-3)/60*273.15*1000/(22.4*$B$11*$B$12)</f>
        <v>1.3341787231908002</v>
      </c>
      <c r="AB46">
        <f t="shared" si="36"/>
        <v>0.41404817753341272</v>
      </c>
      <c r="AC46">
        <f t="shared" si="37"/>
        <v>3</v>
      </c>
      <c r="AD46" s="7">
        <v>180</v>
      </c>
      <c r="AE46" s="8">
        <f>AL25</f>
        <v>8.3899999999999988</v>
      </c>
      <c r="AF46" s="9">
        <f t="shared" si="38"/>
        <v>0.13983333333333331</v>
      </c>
      <c r="AG46" s="6">
        <f t="shared" si="39"/>
        <v>35.756853396901079</v>
      </c>
      <c r="AH46" s="6">
        <f t="shared" si="40"/>
        <v>6.746320419101048</v>
      </c>
      <c r="AT46" s="6"/>
      <c r="AU46" s="6"/>
      <c r="AV46" s="9"/>
      <c r="AW46" s="6"/>
      <c r="AX46" s="6"/>
      <c r="BA46" s="6"/>
      <c r="BB46" s="6"/>
      <c r="BC46" s="9"/>
      <c r="BD46" s="6"/>
      <c r="BE46" s="6"/>
      <c r="BH46" s="6"/>
      <c r="BI46" s="6"/>
      <c r="BJ46" s="9"/>
      <c r="BK46" s="6"/>
      <c r="BL46" s="6"/>
      <c r="BO46" s="6"/>
      <c r="BP46" s="6"/>
      <c r="BQ46" s="9"/>
      <c r="BR46" s="6"/>
      <c r="BS46" s="6"/>
      <c r="BV46" s="6"/>
      <c r="BW46" s="6"/>
      <c r="BX46" s="9"/>
      <c r="BY46" s="6"/>
      <c r="BZ46" s="6"/>
      <c r="CB46">
        <f t="shared" si="25"/>
        <v>49.416666666666664</v>
      </c>
      <c r="CC46" s="6">
        <v>2965</v>
      </c>
      <c r="CD46" s="6">
        <v>5.1349999999999989</v>
      </c>
      <c r="CE46" s="9">
        <f t="shared" si="26"/>
        <v>8.5583333333333317E-2</v>
      </c>
      <c r="CF46" s="6">
        <f t="shared" si="27"/>
        <v>58.4225900681597</v>
      </c>
      <c r="CG46" s="6">
        <f t="shared" si="28"/>
        <v>0.82201441254584584</v>
      </c>
      <c r="CI46" s="6"/>
      <c r="CJ46" s="6"/>
      <c r="CK46" s="9"/>
      <c r="CL46" s="27"/>
      <c r="CM46" s="27"/>
      <c r="CQ46" s="6"/>
      <c r="CR46" s="6"/>
      <c r="CS46" s="9"/>
      <c r="CT46" s="6"/>
      <c r="CU46" s="6"/>
      <c r="CX46" s="6"/>
      <c r="CY46" s="8"/>
      <c r="CZ46" s="9"/>
      <c r="DA46" s="6"/>
      <c r="DB46" s="6"/>
      <c r="DE46" s="6">
        <v>2220</v>
      </c>
      <c r="DF46" s="8">
        <v>5.1433333333333335</v>
      </c>
      <c r="DG46" s="9">
        <f t="shared" si="47"/>
        <v>8.5722222222222227E-2</v>
      </c>
      <c r="DH46" s="6">
        <f t="shared" si="48"/>
        <v>58.327932598833435</v>
      </c>
      <c r="DI46" s="6">
        <f t="shared" si="49"/>
        <v>0.78092447990689473</v>
      </c>
    </row>
    <row r="47" spans="1:201" x14ac:dyDescent="0.3">
      <c r="A47" t="s">
        <v>26</v>
      </c>
      <c r="P47">
        <f t="shared" si="32"/>
        <v>0.28310616907844594</v>
      </c>
      <c r="Q47">
        <f t="shared" si="33"/>
        <v>4.166666666666667</v>
      </c>
      <c r="R47" s="6">
        <f>R46+90</f>
        <v>250</v>
      </c>
      <c r="S47" s="6">
        <f>W27</f>
        <v>12.625</v>
      </c>
      <c r="T47" s="9">
        <f t="shared" si="34"/>
        <v>0.21041666666666667</v>
      </c>
      <c r="U47" s="6">
        <f t="shared" si="35"/>
        <v>47.524752475247524</v>
      </c>
      <c r="V47" s="6">
        <f>($R$4-U47)*(10^-3)/60*273.15*1000/(22.4*$B$11*$B$12)</f>
        <v>1.1430799852081015</v>
      </c>
      <c r="AD47" s="6"/>
      <c r="AE47" s="6"/>
      <c r="AF47" s="9"/>
      <c r="AG47" s="6"/>
      <c r="AH47" s="6"/>
      <c r="AT47" s="6" t="s">
        <v>81</v>
      </c>
      <c r="AU47" s="6" t="s">
        <v>82</v>
      </c>
      <c r="AV47" s="6" t="s">
        <v>80</v>
      </c>
      <c r="AW47" s="6" t="s">
        <v>84</v>
      </c>
      <c r="CC47" t="s">
        <v>80</v>
      </c>
      <c r="CD47" s="6" t="s">
        <v>81</v>
      </c>
      <c r="CE47" s="6" t="s">
        <v>82</v>
      </c>
      <c r="CF47" s="6" t="s">
        <v>80</v>
      </c>
      <c r="CG47" s="6" t="s">
        <v>84</v>
      </c>
      <c r="CJ47" t="s">
        <v>80</v>
      </c>
      <c r="CL47" s="6" t="s">
        <v>81</v>
      </c>
      <c r="CM47" s="6" t="s">
        <v>82</v>
      </c>
      <c r="CN47" s="6" t="s">
        <v>80</v>
      </c>
      <c r="CO47" s="6" t="s">
        <v>84</v>
      </c>
      <c r="CX47" s="6"/>
      <c r="CY47" s="6"/>
      <c r="CZ47" s="9"/>
      <c r="DA47" s="6"/>
      <c r="DB47" s="6"/>
      <c r="DE47" s="6">
        <v>2460</v>
      </c>
      <c r="DF47" s="8">
        <v>5.128333333333333</v>
      </c>
      <c r="DG47" s="9">
        <f t="shared" si="47"/>
        <v>8.5472222222222213E-2</v>
      </c>
      <c r="DH47" s="6">
        <f t="shared" si="48"/>
        <v>58.498537536561592</v>
      </c>
      <c r="DI47" s="6">
        <f t="shared" si="49"/>
        <v>0.69904292371694121</v>
      </c>
    </row>
    <row r="48" spans="1:201" x14ac:dyDescent="0.3">
      <c r="A48" s="10">
        <v>7.4565891657345906E-3</v>
      </c>
      <c r="AT48" s="6">
        <v>1</v>
      </c>
      <c r="AU48" s="6">
        <f>AT48/60</f>
        <v>1.6666666666666666E-2</v>
      </c>
      <c r="AV48" s="6">
        <f t="shared" ref="AV48:AV53" si="50">AR35</f>
        <v>1</v>
      </c>
      <c r="AW48" s="6"/>
      <c r="CC48">
        <f t="shared" ref="CC48:CC59" si="51">CG35/$CG$35</f>
        <v>1</v>
      </c>
      <c r="CD48" s="6">
        <v>1</v>
      </c>
      <c r="CE48" s="6">
        <f>CD48/60</f>
        <v>1.6666666666666666E-2</v>
      </c>
      <c r="CF48" s="6">
        <f t="shared" ref="CF48:CF53" si="52">CC48</f>
        <v>1</v>
      </c>
      <c r="CG48" s="6"/>
      <c r="CI48">
        <f>CI35/60</f>
        <v>1.6666666666666666E-2</v>
      </c>
      <c r="CJ48">
        <f>CM35/$CM$35</f>
        <v>1</v>
      </c>
      <c r="CL48" s="6">
        <v>1</v>
      </c>
      <c r="CM48" s="6">
        <f>CL48/60</f>
        <v>1.6666666666666666E-2</v>
      </c>
      <c r="CN48" s="6">
        <f t="shared" ref="CN48:CN53" si="53">CJ48</f>
        <v>1</v>
      </c>
      <c r="CO48" s="6"/>
      <c r="CQ48">
        <f>CQ35/60</f>
        <v>1.6666666666666666E-2</v>
      </c>
      <c r="DE48" s="7">
        <v>2700</v>
      </c>
      <c r="DF48" s="8">
        <v>5.0949999999999998</v>
      </c>
      <c r="DG48" s="9">
        <f t="shared" si="47"/>
        <v>8.4916666666666668E-2</v>
      </c>
      <c r="DH48" s="6">
        <f t="shared" si="48"/>
        <v>58.881256133464177</v>
      </c>
      <c r="DI48" s="6">
        <f t="shared" si="49"/>
        <v>0.51535776949735668</v>
      </c>
    </row>
    <row r="49" spans="1:115" x14ac:dyDescent="0.3">
      <c r="A49" s="10">
        <v>7.4605554365674301E-2</v>
      </c>
      <c r="AT49" s="6">
        <v>10</v>
      </c>
      <c r="AU49" s="6">
        <f t="shared" ref="AU49:AU57" si="54">AT49/60</f>
        <v>0.16666666666666666</v>
      </c>
      <c r="AV49" s="6">
        <f t="shared" si="50"/>
        <v>0.9334028651124856</v>
      </c>
      <c r="AW49" s="6"/>
      <c r="CC49">
        <f t="shared" si="51"/>
        <v>0.93293140565311627</v>
      </c>
      <c r="CD49" s="6">
        <v>10</v>
      </c>
      <c r="CE49" s="6">
        <f t="shared" ref="CE49:CE57" si="55">CD49/60</f>
        <v>0.16666666666666666</v>
      </c>
      <c r="CF49" s="6">
        <f t="shared" si="52"/>
        <v>0.93293140565311627</v>
      </c>
      <c r="CG49" s="6"/>
      <c r="CI49">
        <f t="shared" ref="CI49:CI58" si="56">CI36/60</f>
        <v>0.16666666666666666</v>
      </c>
      <c r="CJ49">
        <f t="shared" ref="CJ49:CJ58" si="57">CM36/$CM$35</f>
        <v>0.93254063412619836</v>
      </c>
      <c r="CL49" s="6">
        <v>10</v>
      </c>
      <c r="CM49" s="6">
        <f t="shared" ref="CM49:CM57" si="58">CL49/60</f>
        <v>0.16666666666666666</v>
      </c>
      <c r="CN49" s="6">
        <f t="shared" si="53"/>
        <v>0.93254063412619836</v>
      </c>
      <c r="CO49" s="6"/>
      <c r="CQ49">
        <f t="shared" ref="CQ49:CQ54" si="59">CQ36/60</f>
        <v>0.16666666666666666</v>
      </c>
      <c r="CX49">
        <f>CX36/60</f>
        <v>1.6666666666666666E-2</v>
      </c>
      <c r="DE49" s="6">
        <v>2940</v>
      </c>
      <c r="DF49" s="8">
        <v>5.1016666666666657</v>
      </c>
      <c r="DG49" s="9">
        <f t="shared" si="47"/>
        <v>8.5027777777777758E-2</v>
      </c>
      <c r="DH49" s="6">
        <f t="shared" si="48"/>
        <v>58.80431231623654</v>
      </c>
      <c r="DI49" s="6">
        <f t="shared" si="49"/>
        <v>0.55228682663773765</v>
      </c>
    </row>
    <row r="50" spans="1:115" x14ac:dyDescent="0.3">
      <c r="A50" s="10">
        <v>0.73249089740843853</v>
      </c>
      <c r="AT50" s="6">
        <v>20</v>
      </c>
      <c r="AU50" s="6">
        <f t="shared" si="54"/>
        <v>0.33333333333333331</v>
      </c>
      <c r="AV50" s="6">
        <f t="shared" si="50"/>
        <v>0.77264908758853745</v>
      </c>
      <c r="AW50" s="6"/>
      <c r="CC50">
        <f t="shared" si="51"/>
        <v>0.81608072327942605</v>
      </c>
      <c r="CD50" s="6">
        <v>20</v>
      </c>
      <c r="CE50" s="6">
        <f t="shared" si="55"/>
        <v>0.33333333333333331</v>
      </c>
      <c r="CF50" s="6">
        <f t="shared" si="52"/>
        <v>0.81608072327942605</v>
      </c>
      <c r="CG50" s="6"/>
      <c r="CI50">
        <f t="shared" si="56"/>
        <v>0.33333333333333331</v>
      </c>
      <c r="CJ50">
        <f t="shared" si="57"/>
        <v>0.83460244803390871</v>
      </c>
      <c r="CL50" s="6">
        <v>20</v>
      </c>
      <c r="CM50" s="6">
        <f t="shared" si="58"/>
        <v>0.33333333333333331</v>
      </c>
      <c r="CN50" s="6">
        <f t="shared" si="53"/>
        <v>0.83460244803390871</v>
      </c>
      <c r="CO50" s="6"/>
      <c r="CQ50">
        <f t="shared" si="59"/>
        <v>0.33333333333333331</v>
      </c>
      <c r="CX50">
        <f t="shared" ref="CX50:CX57" si="60">CX37/60</f>
        <v>0.16666666666666666</v>
      </c>
      <c r="DE50" s="6">
        <v>3600</v>
      </c>
      <c r="DF50" s="6">
        <v>5.0200000000000005</v>
      </c>
      <c r="DG50" s="9">
        <f t="shared" si="47"/>
        <v>8.3666666666666681E-2</v>
      </c>
      <c r="DH50" s="27">
        <f t="shared" si="48"/>
        <v>59.760956175298794</v>
      </c>
      <c r="DI50" s="27">
        <f t="shared" si="49"/>
        <v>9.3147197136546331E-2</v>
      </c>
    </row>
    <row r="51" spans="1:115" x14ac:dyDescent="0.3">
      <c r="A51" s="10">
        <v>3.1079698246115033</v>
      </c>
      <c r="AT51" s="6">
        <v>40</v>
      </c>
      <c r="AU51" s="6">
        <f t="shared" si="54"/>
        <v>0.66666666666666663</v>
      </c>
      <c r="AV51" s="6">
        <f t="shared" si="50"/>
        <v>0.58418172299947324</v>
      </c>
      <c r="AW51" s="6"/>
      <c r="CC51">
        <f t="shared" si="51"/>
        <v>0.62834723698162298</v>
      </c>
      <c r="CD51" s="6">
        <v>40</v>
      </c>
      <c r="CE51" s="6">
        <f t="shared" si="55"/>
        <v>0.66666666666666663</v>
      </c>
      <c r="CF51" s="6">
        <f t="shared" si="52"/>
        <v>0.62834723698162298</v>
      </c>
      <c r="CG51" s="6"/>
      <c r="CI51">
        <f t="shared" si="56"/>
        <v>0.66666666666666663</v>
      </c>
      <c r="CJ51">
        <f t="shared" si="57"/>
        <v>0.68478923092919053</v>
      </c>
      <c r="CL51" s="6">
        <v>40</v>
      </c>
      <c r="CM51" s="6">
        <f t="shared" si="58"/>
        <v>0.66666666666666663</v>
      </c>
      <c r="CN51" s="6">
        <f t="shared" si="53"/>
        <v>0.68478923092919053</v>
      </c>
      <c r="CO51" s="6"/>
      <c r="CQ51">
        <f t="shared" si="59"/>
        <v>0.66666666666666663</v>
      </c>
      <c r="CX51">
        <f t="shared" si="60"/>
        <v>0.33333333333333331</v>
      </c>
      <c r="DF51" t="s">
        <v>80</v>
      </c>
      <c r="DH51" s="6" t="s">
        <v>81</v>
      </c>
      <c r="DI51" s="6" t="s">
        <v>82</v>
      </c>
      <c r="DJ51" s="6" t="s">
        <v>80</v>
      </c>
      <c r="DK51" s="6" t="s">
        <v>83</v>
      </c>
    </row>
    <row r="52" spans="1:115" x14ac:dyDescent="0.3">
      <c r="A52" s="10">
        <v>3.04</v>
      </c>
      <c r="AT52" s="6">
        <v>70</v>
      </c>
      <c r="AU52" s="6">
        <f t="shared" si="54"/>
        <v>1.1666666666666667</v>
      </c>
      <c r="AV52" s="6">
        <f t="shared" si="50"/>
        <v>0.4135845098828162</v>
      </c>
      <c r="AW52" s="6"/>
      <c r="CC52">
        <f t="shared" si="51"/>
        <v>0.44450409227013632</v>
      </c>
      <c r="CD52" s="6">
        <v>70</v>
      </c>
      <c r="CE52" s="6">
        <f t="shared" si="55"/>
        <v>1.1666666666666667</v>
      </c>
      <c r="CF52" s="6">
        <f t="shared" si="52"/>
        <v>0.44450409227013632</v>
      </c>
      <c r="CG52" s="6"/>
      <c r="CI52">
        <f t="shared" si="56"/>
        <v>1.1666666666666667</v>
      </c>
      <c r="CJ52">
        <f t="shared" si="57"/>
        <v>0.49636162841711901</v>
      </c>
      <c r="CL52" s="6">
        <v>70</v>
      </c>
      <c r="CM52" s="6">
        <f t="shared" si="58"/>
        <v>1.1666666666666667</v>
      </c>
      <c r="CN52" s="6">
        <f t="shared" si="53"/>
        <v>0.49636162841711901</v>
      </c>
      <c r="CO52" s="6"/>
      <c r="CQ52">
        <f t="shared" si="59"/>
        <v>1.1666666666666667</v>
      </c>
      <c r="CX52">
        <f t="shared" si="60"/>
        <v>0.66666666666666663</v>
      </c>
      <c r="DE52">
        <f>DE36/60</f>
        <v>1.6666666666666666E-2</v>
      </c>
      <c r="DF52">
        <f>DI36/$DI$36</f>
        <v>1</v>
      </c>
      <c r="DH52" s="6">
        <v>1</v>
      </c>
      <c r="DI52" s="6">
        <f>DH52/60</f>
        <v>1.6666666666666666E-2</v>
      </c>
      <c r="DJ52" s="6">
        <f t="shared" ref="DJ52:DJ57" si="61">DF52</f>
        <v>1</v>
      </c>
      <c r="DK52" s="6"/>
    </row>
    <row r="53" spans="1:115" x14ac:dyDescent="0.3">
      <c r="A53" s="10">
        <v>3.01</v>
      </c>
      <c r="AT53" s="6">
        <v>100</v>
      </c>
      <c r="AU53" s="6">
        <f t="shared" si="54"/>
        <v>1.6666666666666667</v>
      </c>
      <c r="AV53" s="6">
        <f t="shared" si="50"/>
        <v>0.32118287109747751</v>
      </c>
      <c r="AW53" s="6"/>
      <c r="CC53">
        <f t="shared" si="51"/>
        <v>0.33112903752169248</v>
      </c>
      <c r="CD53" s="6">
        <v>100</v>
      </c>
      <c r="CE53" s="6">
        <f t="shared" si="55"/>
        <v>1.6666666666666667</v>
      </c>
      <c r="CF53" s="6">
        <f t="shared" si="52"/>
        <v>0.33112903752169248</v>
      </c>
      <c r="CG53" s="6"/>
      <c r="CI53">
        <f t="shared" si="56"/>
        <v>1.6666666666666667</v>
      </c>
      <c r="CJ53">
        <f t="shared" si="57"/>
        <v>0.38381943201860852</v>
      </c>
      <c r="CL53" s="6">
        <v>100</v>
      </c>
      <c r="CM53" s="6">
        <f t="shared" si="58"/>
        <v>1.6666666666666667</v>
      </c>
      <c r="CN53" s="6">
        <f t="shared" si="53"/>
        <v>0.38381943201860852</v>
      </c>
      <c r="CO53" s="6"/>
      <c r="CQ53">
        <f t="shared" si="59"/>
        <v>1.6666666666666667</v>
      </c>
      <c r="CX53">
        <f t="shared" si="60"/>
        <v>1</v>
      </c>
      <c r="DE53">
        <f t="shared" ref="DE53:DE66" si="62">DE37/60</f>
        <v>0.16666666666666666</v>
      </c>
      <c r="DF53">
        <f t="shared" ref="DF53:DF66" si="63">DI37/$DI$36</f>
        <v>0.94640519911850829</v>
      </c>
      <c r="DH53" s="6">
        <v>10</v>
      </c>
      <c r="DI53" s="6">
        <f t="shared" ref="DI53:DI61" si="64">DH53/60</f>
        <v>0.16666666666666666</v>
      </c>
      <c r="DJ53" s="6">
        <f t="shared" si="61"/>
        <v>0.94640519911850829</v>
      </c>
      <c r="DK53" s="6"/>
    </row>
    <row r="54" spans="1:115" x14ac:dyDescent="0.3">
      <c r="A54" s="10">
        <v>2.33</v>
      </c>
      <c r="AT54" s="6">
        <v>1150</v>
      </c>
      <c r="AU54" s="6">
        <f t="shared" si="54"/>
        <v>19.166666666666668</v>
      </c>
      <c r="AV54" s="6">
        <f>AR42</f>
        <v>0.1202382606060223</v>
      </c>
      <c r="AW54" s="6"/>
      <c r="CC54">
        <f t="shared" si="51"/>
        <v>0.18816898882633401</v>
      </c>
      <c r="CD54" s="6">
        <v>1150</v>
      </c>
      <c r="CE54" s="6">
        <f t="shared" si="55"/>
        <v>19.166666666666668</v>
      </c>
      <c r="CF54" s="6">
        <f>CC55</f>
        <v>0.11106931433162213</v>
      </c>
      <c r="CG54" s="6"/>
      <c r="CI54">
        <f t="shared" si="56"/>
        <v>3.3333333333333335</v>
      </c>
      <c r="CJ54">
        <f t="shared" si="57"/>
        <v>0.2401011031723469</v>
      </c>
      <c r="CL54" s="6">
        <v>1150</v>
      </c>
      <c r="CM54" s="6">
        <f t="shared" si="58"/>
        <v>19.166666666666668</v>
      </c>
      <c r="CN54" s="6">
        <f>CJ55</f>
        <v>0.13361791658716249</v>
      </c>
      <c r="CO54" s="6"/>
      <c r="CQ54">
        <f t="shared" si="59"/>
        <v>5</v>
      </c>
      <c r="CX54">
        <f t="shared" si="60"/>
        <v>1.5</v>
      </c>
      <c r="DE54">
        <f t="shared" si="62"/>
        <v>0.33333333333333331</v>
      </c>
      <c r="DF54">
        <f t="shared" si="63"/>
        <v>0.85218966632524729</v>
      </c>
      <c r="DH54" s="6">
        <v>20</v>
      </c>
      <c r="DI54" s="6">
        <f t="shared" si="64"/>
        <v>0.33333333333333331</v>
      </c>
      <c r="DJ54" s="6">
        <f t="shared" si="61"/>
        <v>0.85218966632524729</v>
      </c>
      <c r="DK54" s="6"/>
    </row>
    <row r="55" spans="1:115" x14ac:dyDescent="0.3">
      <c r="A55" s="10">
        <v>2.06</v>
      </c>
      <c r="AT55" s="6">
        <v>1500</v>
      </c>
      <c r="AU55" s="6">
        <f t="shared" si="54"/>
        <v>25</v>
      </c>
      <c r="AV55" s="6"/>
      <c r="AW55" s="6"/>
      <c r="CC55">
        <f t="shared" si="51"/>
        <v>0.11106931433162213</v>
      </c>
      <c r="CD55" s="6">
        <v>1500</v>
      </c>
      <c r="CE55" s="6">
        <f t="shared" si="55"/>
        <v>25</v>
      </c>
      <c r="CF55" s="6">
        <f>CC57</f>
        <v>7.1555337919435802E-2</v>
      </c>
      <c r="CG55" s="6"/>
      <c r="CI55">
        <f t="shared" si="56"/>
        <v>19.166666666666668</v>
      </c>
      <c r="CJ55">
        <f t="shared" si="57"/>
        <v>0.13361791658716249</v>
      </c>
      <c r="CL55" s="6">
        <v>1500</v>
      </c>
      <c r="CM55" s="6">
        <f t="shared" si="58"/>
        <v>25</v>
      </c>
      <c r="CN55" s="6">
        <f>CJ56</f>
        <v>0.12008838912710734</v>
      </c>
      <c r="CO55" s="6"/>
      <c r="CX55">
        <f t="shared" si="60"/>
        <v>2</v>
      </c>
      <c r="DE55">
        <f t="shared" si="62"/>
        <v>0.66666666666666663</v>
      </c>
      <c r="DF55">
        <f t="shared" si="63"/>
        <v>0.67352184672925874</v>
      </c>
      <c r="DH55" s="6">
        <v>40</v>
      </c>
      <c r="DI55" s="6">
        <f t="shared" si="64"/>
        <v>0.66666666666666663</v>
      </c>
      <c r="DJ55" s="6">
        <f t="shared" si="61"/>
        <v>0.67352184672925874</v>
      </c>
      <c r="DK55" s="6"/>
    </row>
    <row r="56" spans="1:115" x14ac:dyDescent="0.3">
      <c r="A56" t="s">
        <v>29</v>
      </c>
      <c r="AT56" s="6">
        <v>3000</v>
      </c>
      <c r="AU56" s="6">
        <f t="shared" si="54"/>
        <v>50</v>
      </c>
      <c r="AV56" s="6"/>
      <c r="AW56" s="6"/>
      <c r="CC56">
        <f t="shared" si="51"/>
        <v>7.5524049231667043E-2</v>
      </c>
      <c r="CD56" s="6">
        <v>3000</v>
      </c>
      <c r="CE56" s="6">
        <f t="shared" si="55"/>
        <v>50</v>
      </c>
      <c r="CF56" s="6">
        <f>CC59</f>
        <v>5.1094254515345439E-2</v>
      </c>
      <c r="CG56" s="6"/>
      <c r="CI56">
        <f t="shared" si="56"/>
        <v>24</v>
      </c>
      <c r="CJ56">
        <f t="shared" si="57"/>
        <v>0.12008838912710734</v>
      </c>
      <c r="CL56" s="6">
        <v>3000</v>
      </c>
      <c r="CM56" s="6">
        <f t="shared" si="58"/>
        <v>50</v>
      </c>
      <c r="CN56" s="6">
        <f>CJ58</f>
        <v>4.4866778504279267E-2</v>
      </c>
      <c r="CO56" s="6"/>
      <c r="CX56">
        <f>CX43/60</f>
        <v>6</v>
      </c>
      <c r="DE56">
        <f t="shared" si="62"/>
        <v>1</v>
      </c>
      <c r="DF56">
        <f t="shared" si="63"/>
        <v>0.59709485194038692</v>
      </c>
      <c r="DH56" s="6">
        <v>70</v>
      </c>
      <c r="DI56" s="6">
        <f t="shared" si="64"/>
        <v>1.1666666666666667</v>
      </c>
      <c r="DJ56" s="6">
        <f t="shared" si="61"/>
        <v>0.59709485194038692</v>
      </c>
      <c r="DK56" s="6"/>
    </row>
    <row r="57" spans="1:115" x14ac:dyDescent="0.3">
      <c r="A57" t="s">
        <v>30</v>
      </c>
      <c r="R57" s="12" t="s">
        <v>91</v>
      </c>
      <c r="S57" s="6"/>
      <c r="T57" s="6"/>
      <c r="U57" s="6"/>
      <c r="V57" s="6"/>
      <c r="W57" s="6"/>
      <c r="X57" s="6" t="s">
        <v>56</v>
      </c>
      <c r="Y57" s="6"/>
      <c r="AT57" s="6">
        <v>3600</v>
      </c>
      <c r="AU57" s="6">
        <f t="shared" si="54"/>
        <v>60</v>
      </c>
      <c r="AV57" s="6"/>
      <c r="AW57" s="6"/>
      <c r="CC57">
        <f t="shared" si="51"/>
        <v>7.1555337919435802E-2</v>
      </c>
      <c r="CD57" s="6">
        <v>3600</v>
      </c>
      <c r="CE57" s="6">
        <f t="shared" si="55"/>
        <v>60</v>
      </c>
      <c r="CF57" s="6">
        <f>CC60</f>
        <v>1.8647211193208533E-2</v>
      </c>
      <c r="CG57" s="6"/>
      <c r="CI57">
        <f t="shared" si="56"/>
        <v>47.666666666666664</v>
      </c>
      <c r="CJ57">
        <f t="shared" si="57"/>
        <v>4.1550634053016455E-2</v>
      </c>
      <c r="CL57" s="6">
        <v>3600</v>
      </c>
      <c r="CM57" s="6">
        <f t="shared" si="58"/>
        <v>60</v>
      </c>
      <c r="CN57" s="6"/>
      <c r="CO57" s="6"/>
      <c r="CX57">
        <f t="shared" si="60"/>
        <v>10</v>
      </c>
      <c r="DE57">
        <f t="shared" si="62"/>
        <v>1.5</v>
      </c>
      <c r="DF57">
        <f t="shared" si="63"/>
        <v>0.46353722670820963</v>
      </c>
      <c r="DH57" s="6">
        <v>100</v>
      </c>
      <c r="DI57" s="6">
        <f t="shared" si="64"/>
        <v>1.6666666666666667</v>
      </c>
      <c r="DJ57" s="6">
        <f t="shared" si="61"/>
        <v>0.46353722670820963</v>
      </c>
      <c r="DK57" s="6"/>
    </row>
    <row r="58" spans="1:115" x14ac:dyDescent="0.3">
      <c r="A58" t="s">
        <v>33</v>
      </c>
      <c r="R58" s="5" t="s">
        <v>52</v>
      </c>
      <c r="S58" s="5" t="s">
        <v>54</v>
      </c>
      <c r="T58" s="6"/>
      <c r="U58" s="6"/>
      <c r="V58" s="6" t="s">
        <v>55</v>
      </c>
      <c r="W58" s="6" t="s">
        <v>13</v>
      </c>
      <c r="X58" s="7" t="s">
        <v>13</v>
      </c>
      <c r="Y58" s="5" t="s">
        <v>53</v>
      </c>
      <c r="CC58">
        <f t="shared" si="51"/>
        <v>6.8234048468012426E-2</v>
      </c>
      <c r="CI58">
        <f t="shared" si="56"/>
        <v>50.833333333333336</v>
      </c>
      <c r="CJ58">
        <f t="shared" si="57"/>
        <v>4.4866778504279267E-2</v>
      </c>
      <c r="DE58">
        <f t="shared" si="62"/>
        <v>13</v>
      </c>
      <c r="DF58">
        <f t="shared" si="63"/>
        <v>0.12542463319748992</v>
      </c>
      <c r="DH58" s="6">
        <v>1150</v>
      </c>
      <c r="DI58" s="6">
        <f t="shared" si="64"/>
        <v>19.166666666666668</v>
      </c>
      <c r="DJ58" s="6">
        <f>DF60</f>
        <v>8.933190547981347E-2</v>
      </c>
      <c r="DK58" s="6"/>
    </row>
    <row r="59" spans="1:115" x14ac:dyDescent="0.3">
      <c r="A59" t="s">
        <v>34</v>
      </c>
      <c r="R59" s="9">
        <f>S59*(10^-3)*$B$11*X59/(0.1)</f>
        <v>5.5007740749777841E-4</v>
      </c>
      <c r="S59" s="9">
        <v>0.63468029017858363</v>
      </c>
      <c r="T59" s="6"/>
      <c r="U59" s="6">
        <f>V59/60</f>
        <v>1.6666666666666666E-2</v>
      </c>
      <c r="V59" s="6">
        <v>1</v>
      </c>
      <c r="W59" s="6">
        <f>V59*60</f>
        <v>60</v>
      </c>
      <c r="X59" s="6">
        <f>W59</f>
        <v>60</v>
      </c>
      <c r="Y59" s="6">
        <f>R59/$E$76</f>
        <v>2.3710233081800796E-4</v>
      </c>
      <c r="CC59">
        <f t="shared" si="51"/>
        <v>5.1094254515345439E-2</v>
      </c>
      <c r="DE59">
        <f t="shared" si="62"/>
        <v>17</v>
      </c>
      <c r="DF59">
        <f t="shared" si="63"/>
        <v>8.7319737075790882E-2</v>
      </c>
      <c r="DH59" s="6">
        <v>1500</v>
      </c>
      <c r="DI59" s="6">
        <f t="shared" si="64"/>
        <v>25</v>
      </c>
      <c r="DJ59" s="6">
        <f>DF61</f>
        <v>7.8321576126456918E-2</v>
      </c>
      <c r="DK59" s="6"/>
    </row>
    <row r="60" spans="1:115" x14ac:dyDescent="0.3">
      <c r="A60" t="s">
        <v>36</v>
      </c>
      <c r="R60" s="9">
        <f>(S60*(10^-3)*$B$11*X60/(0.1))+R59</f>
        <v>2.1049566969131282E-3</v>
      </c>
      <c r="S60" s="9">
        <v>0.19933583188022896</v>
      </c>
      <c r="T60" s="6"/>
      <c r="U60" s="6">
        <f>V60/60</f>
        <v>0.16666666666666666</v>
      </c>
      <c r="V60" s="6">
        <v>10</v>
      </c>
      <c r="W60" s="6">
        <f>V60*60</f>
        <v>600</v>
      </c>
      <c r="X60" s="6">
        <f>W60-W59</f>
        <v>540</v>
      </c>
      <c r="Y60" s="6">
        <f>R60/$E$76</f>
        <v>9.0730892108324495E-4</v>
      </c>
      <c r="CC60">
        <f>0.3/CG35</f>
        <v>1.8647211193208533E-2</v>
      </c>
      <c r="DE60">
        <f>DE44/60</f>
        <v>21</v>
      </c>
      <c r="DF60">
        <f t="shared" si="63"/>
        <v>8.933190547981347E-2</v>
      </c>
      <c r="DH60" s="6">
        <v>3000</v>
      </c>
      <c r="DI60" s="6">
        <f t="shared" si="64"/>
        <v>50</v>
      </c>
      <c r="DJ60" s="6">
        <f>DF65</f>
        <v>5.6041935481342862E-2</v>
      </c>
      <c r="DK60" s="6"/>
    </row>
    <row r="61" spans="1:115" x14ac:dyDescent="0.3">
      <c r="A61" t="s">
        <v>37</v>
      </c>
      <c r="C61" t="s">
        <v>27</v>
      </c>
      <c r="D61" t="s">
        <v>28</v>
      </c>
      <c r="R61" s="9">
        <f>(S61*(10^-3)*$B$11*X61/(0.1))+R60</f>
        <v>3.329955913435192E-3</v>
      </c>
      <c r="S61" s="9">
        <v>0.14134062726688174</v>
      </c>
      <c r="T61" s="6"/>
      <c r="U61" s="6">
        <f>V61/60</f>
        <v>0.33333333333333331</v>
      </c>
      <c r="V61" s="6">
        <v>20</v>
      </c>
      <c r="W61" s="6">
        <f>V61*60</f>
        <v>1200</v>
      </c>
      <c r="X61" s="6">
        <f>W61-W60</f>
        <v>600</v>
      </c>
      <c r="Y61" s="6">
        <f>R61/$E$76</f>
        <v>1.4353258247565483E-3</v>
      </c>
      <c r="DE61">
        <f t="shared" si="62"/>
        <v>25</v>
      </c>
      <c r="DF61">
        <f t="shared" si="63"/>
        <v>7.8321576126456918E-2</v>
      </c>
      <c r="DH61" s="6">
        <v>3600</v>
      </c>
      <c r="DI61" s="6">
        <f t="shared" si="64"/>
        <v>60</v>
      </c>
      <c r="DJ61" s="6">
        <f>DF66</f>
        <v>9.4518807264948844E-3</v>
      </c>
      <c r="DK61" s="6"/>
    </row>
    <row r="62" spans="1:115" x14ac:dyDescent="0.3">
      <c r="A62" t="s">
        <v>40</v>
      </c>
      <c r="B62" t="s">
        <v>27</v>
      </c>
      <c r="C62">
        <v>6.0000000000000001E-3</v>
      </c>
      <c r="D62">
        <v>100</v>
      </c>
      <c r="R62" s="9"/>
      <c r="S62" s="9"/>
      <c r="T62" s="6"/>
      <c r="U62" s="6"/>
      <c r="V62" s="6"/>
      <c r="W62" s="6"/>
      <c r="X62" s="6"/>
      <c r="Y62" s="6"/>
      <c r="DE62">
        <f t="shared" si="62"/>
        <v>37</v>
      </c>
      <c r="DF62">
        <f t="shared" si="63"/>
        <v>7.9242374085177938E-2</v>
      </c>
    </row>
    <row r="63" spans="1:115" x14ac:dyDescent="0.3">
      <c r="A63" t="s">
        <v>42</v>
      </c>
      <c r="B63" t="s">
        <v>27</v>
      </c>
      <c r="C63">
        <v>0.06</v>
      </c>
      <c r="D63">
        <v>1000</v>
      </c>
      <c r="DE63">
        <f>DE47/60</f>
        <v>41</v>
      </c>
      <c r="DF63">
        <f t="shared" si="63"/>
        <v>7.0933646323110097E-2</v>
      </c>
    </row>
    <row r="64" spans="1:115" x14ac:dyDescent="0.3">
      <c r="A64" t="s">
        <v>43</v>
      </c>
      <c r="B64" t="s">
        <v>27</v>
      </c>
      <c r="C64">
        <v>0.6</v>
      </c>
      <c r="D64">
        <v>10000</v>
      </c>
      <c r="R64" s="12" t="s">
        <v>90</v>
      </c>
      <c r="S64" s="6"/>
      <c r="T64" s="6"/>
      <c r="U64" s="6"/>
      <c r="V64" s="6"/>
      <c r="W64" s="6"/>
      <c r="X64" s="6" t="s">
        <v>56</v>
      </c>
      <c r="Y64" s="6"/>
      <c r="DE64">
        <f t="shared" si="62"/>
        <v>45</v>
      </c>
      <c r="DF64">
        <f t="shared" si="63"/>
        <v>5.229465103089271E-2</v>
      </c>
    </row>
    <row r="65" spans="1:110" x14ac:dyDescent="0.3">
      <c r="A65" t="s">
        <v>44</v>
      </c>
      <c r="B65" t="s">
        <v>27</v>
      </c>
      <c r="C65">
        <v>3</v>
      </c>
      <c r="R65" s="5" t="s">
        <v>52</v>
      </c>
      <c r="S65" s="5" t="s">
        <v>54</v>
      </c>
      <c r="T65" s="6"/>
      <c r="U65" s="6"/>
      <c r="V65" s="6" t="s">
        <v>55</v>
      </c>
      <c r="W65" s="6" t="s">
        <v>13</v>
      </c>
      <c r="X65" s="7" t="s">
        <v>13</v>
      </c>
      <c r="Y65" s="5" t="s">
        <v>53</v>
      </c>
      <c r="DE65">
        <f>DE49/60</f>
        <v>49</v>
      </c>
      <c r="DF65">
        <f t="shared" si="63"/>
        <v>5.6041935481342862E-2</v>
      </c>
    </row>
    <row r="66" spans="1:110" x14ac:dyDescent="0.3">
      <c r="A66" t="s">
        <v>45</v>
      </c>
      <c r="R66" s="9">
        <f>S66*(10^-3)*$B$11*X66/(0.1)</f>
        <v>6.7806978400849062E-4</v>
      </c>
      <c r="S66" s="9">
        <v>0.78235812162050367</v>
      </c>
      <c r="T66" s="6"/>
      <c r="U66" s="6">
        <f>V66/60</f>
        <v>1.6666666666666666E-2</v>
      </c>
      <c r="V66" s="6">
        <v>1</v>
      </c>
      <c r="W66" s="6">
        <f>V66*60</f>
        <v>60</v>
      </c>
      <c r="X66" s="6">
        <f>W66</f>
        <v>60</v>
      </c>
      <c r="Y66" s="6">
        <f>R66/$E$76</f>
        <v>2.9227145862434942E-4</v>
      </c>
      <c r="DE66">
        <f t="shared" si="62"/>
        <v>60</v>
      </c>
      <c r="DF66">
        <f t="shared" si="63"/>
        <v>9.4518807264948844E-3</v>
      </c>
    </row>
    <row r="67" spans="1:110" x14ac:dyDescent="0.3">
      <c r="A67" t="s">
        <v>47</v>
      </c>
      <c r="K67" t="s">
        <v>68</v>
      </c>
      <c r="R67" s="9">
        <f>(S67*(10^-3)*$B$11*X67/(0.1))+R66</f>
        <v>4.9012613960896442E-3</v>
      </c>
      <c r="S67" s="9">
        <v>0.54141399844636151</v>
      </c>
      <c r="T67" s="6"/>
      <c r="U67" s="6">
        <f>V67/60</f>
        <v>0.16666666666666666</v>
      </c>
      <c r="V67" s="6">
        <v>10</v>
      </c>
      <c r="W67" s="6">
        <f>V67*60</f>
        <v>600</v>
      </c>
      <c r="X67" s="6">
        <f>W67-W66</f>
        <v>540</v>
      </c>
      <c r="Y67" s="6">
        <f>R67/$E$76</f>
        <v>2.1126126707282952E-3</v>
      </c>
      <c r="AK67" s="16">
        <v>300</v>
      </c>
      <c r="AL67" s="6">
        <v>3.1941412409832712</v>
      </c>
    </row>
    <row r="68" spans="1:110" x14ac:dyDescent="0.3">
      <c r="A68" t="s">
        <v>48</v>
      </c>
      <c r="R68" s="9">
        <f>(S68*(10^-3)*$B$11*X68/(0.1))+R67</f>
        <v>7.9573030355808167E-3</v>
      </c>
      <c r="S68" s="9">
        <v>0.35260662737869769</v>
      </c>
      <c r="T68" s="6"/>
      <c r="U68" s="6">
        <f>V68/60</f>
        <v>0.33333333333333331</v>
      </c>
      <c r="V68" s="6">
        <v>20</v>
      </c>
      <c r="W68" s="6">
        <f>V68*60</f>
        <v>1200</v>
      </c>
      <c r="X68" s="6">
        <f>W68-W67</f>
        <v>600</v>
      </c>
      <c r="Y68" s="6">
        <f>R68/$E$76</f>
        <v>3.42987199809518E-3</v>
      </c>
    </row>
    <row r="69" spans="1:110" x14ac:dyDescent="0.3">
      <c r="R69" s="9">
        <f>(S69*(10^-3)*$B$11*X69/(0.1))+R68</f>
        <v>1.0351312726799903E-2</v>
      </c>
      <c r="S69" s="9">
        <v>0.27622126355360405</v>
      </c>
      <c r="T69" s="6"/>
      <c r="U69" s="6">
        <f>V69/60</f>
        <v>0.5</v>
      </c>
      <c r="V69" s="6">
        <v>30</v>
      </c>
      <c r="W69" s="6">
        <f>V69*60</f>
        <v>1800</v>
      </c>
      <c r="X69" s="6">
        <f>W69-W68</f>
        <v>600</v>
      </c>
      <c r="Y69" s="6">
        <f>R69/$E$76</f>
        <v>4.4617727270689243E-3</v>
      </c>
      <c r="AU69" t="s">
        <v>77</v>
      </c>
    </row>
    <row r="70" spans="1:110" x14ac:dyDescent="0.3">
      <c r="A70" t="s">
        <v>9</v>
      </c>
      <c r="AA70" s="23">
        <v>42396</v>
      </c>
      <c r="AK70" s="24" t="s">
        <v>71</v>
      </c>
      <c r="AU70" s="23">
        <v>42408</v>
      </c>
      <c r="BE70" s="23">
        <v>42409</v>
      </c>
      <c r="BF70" t="s">
        <v>65</v>
      </c>
      <c r="BG70" s="23">
        <v>42412</v>
      </c>
    </row>
    <row r="71" spans="1:110" x14ac:dyDescent="0.3">
      <c r="B71">
        <v>5.0000000000000001E-3</v>
      </c>
      <c r="C71" t="s">
        <v>31</v>
      </c>
      <c r="E71" t="s">
        <v>32</v>
      </c>
      <c r="I71" s="12" t="s">
        <v>51</v>
      </c>
      <c r="J71" s="6"/>
      <c r="K71" s="6"/>
      <c r="L71" s="6"/>
      <c r="M71" s="6"/>
      <c r="N71" s="6"/>
      <c r="O71" s="6" t="s">
        <v>56</v>
      </c>
      <c r="P71" s="6"/>
      <c r="R71" s="12" t="s">
        <v>57</v>
      </c>
      <c r="S71" s="6"/>
      <c r="T71" s="6"/>
      <c r="U71" s="6"/>
      <c r="V71" s="6"/>
      <c r="W71" s="6"/>
      <c r="X71" s="6" t="s">
        <v>56</v>
      </c>
      <c r="Y71" s="6"/>
      <c r="AA71" s="12" t="s">
        <v>70</v>
      </c>
      <c r="AB71" s="6"/>
      <c r="AC71" s="6"/>
      <c r="AD71" s="6"/>
      <c r="AE71" s="6"/>
      <c r="AF71" s="6"/>
      <c r="AG71" s="6" t="s">
        <v>56</v>
      </c>
      <c r="AH71" s="6"/>
      <c r="AK71" s="12" t="s">
        <v>70</v>
      </c>
      <c r="AL71" s="6"/>
      <c r="AM71" s="6"/>
      <c r="AN71" s="6"/>
      <c r="AO71" s="6"/>
      <c r="AP71" s="6"/>
      <c r="AQ71" s="6" t="s">
        <v>56</v>
      </c>
      <c r="AR71" s="6"/>
      <c r="AU71" s="12" t="s">
        <v>70</v>
      </c>
      <c r="AV71" s="6"/>
      <c r="AW71" s="6"/>
      <c r="AX71" s="6"/>
      <c r="AY71" s="6"/>
      <c r="AZ71" s="6"/>
      <c r="BA71" s="6" t="s">
        <v>56</v>
      </c>
      <c r="BB71" s="6"/>
      <c r="BE71" s="12" t="s">
        <v>70</v>
      </c>
      <c r="BF71" s="6"/>
      <c r="BG71" s="6"/>
      <c r="BH71" s="6"/>
      <c r="BI71" s="6"/>
      <c r="BJ71" s="6"/>
      <c r="BK71" s="6" t="s">
        <v>56</v>
      </c>
      <c r="BL71" s="6"/>
    </row>
    <row r="72" spans="1:110" x14ac:dyDescent="0.3">
      <c r="A72" t="s">
        <v>50</v>
      </c>
      <c r="B72">
        <v>1.2E-2</v>
      </c>
      <c r="C72" t="s">
        <v>31</v>
      </c>
      <c r="I72" s="5" t="s">
        <v>52</v>
      </c>
      <c r="J72" s="5" t="s">
        <v>54</v>
      </c>
      <c r="K72" s="6"/>
      <c r="L72" s="6"/>
      <c r="M72" s="6" t="s">
        <v>55</v>
      </c>
      <c r="N72" s="6" t="s">
        <v>13</v>
      </c>
      <c r="O72" s="7" t="s">
        <v>13</v>
      </c>
      <c r="P72" s="5" t="s">
        <v>53</v>
      </c>
      <c r="R72" s="5" t="s">
        <v>52</v>
      </c>
      <c r="S72" s="5" t="s">
        <v>54</v>
      </c>
      <c r="T72" s="6"/>
      <c r="U72" s="6"/>
      <c r="V72" s="6" t="s">
        <v>55</v>
      </c>
      <c r="W72" s="6" t="s">
        <v>13</v>
      </c>
      <c r="X72" s="7" t="s">
        <v>13</v>
      </c>
      <c r="Y72" s="5" t="s">
        <v>53</v>
      </c>
      <c r="AA72" s="5" t="s">
        <v>52</v>
      </c>
      <c r="AB72" s="5" t="s">
        <v>54</v>
      </c>
      <c r="AC72" s="6"/>
      <c r="AD72" s="6"/>
      <c r="AE72" s="6" t="s">
        <v>55</v>
      </c>
      <c r="AF72" s="6" t="s">
        <v>13</v>
      </c>
      <c r="AG72" s="7" t="s">
        <v>13</v>
      </c>
      <c r="AH72" s="5" t="s">
        <v>53</v>
      </c>
      <c r="AK72" s="5" t="s">
        <v>52</v>
      </c>
      <c r="AL72" s="5" t="s">
        <v>54</v>
      </c>
      <c r="AM72" s="6"/>
      <c r="AN72" s="6"/>
      <c r="AO72" s="6" t="s">
        <v>55</v>
      </c>
      <c r="AP72" s="6" t="s">
        <v>13</v>
      </c>
      <c r="AQ72" s="7" t="s">
        <v>13</v>
      </c>
      <c r="AR72" s="5" t="s">
        <v>53</v>
      </c>
      <c r="AU72" s="5" t="s">
        <v>52</v>
      </c>
      <c r="AV72" s="5" t="s">
        <v>54</v>
      </c>
      <c r="AW72" s="6"/>
      <c r="AX72" s="6"/>
      <c r="AY72" s="6" t="s">
        <v>55</v>
      </c>
      <c r="AZ72" s="6" t="s">
        <v>13</v>
      </c>
      <c r="BA72" s="7" t="s">
        <v>13</v>
      </c>
      <c r="BB72" s="5" t="s">
        <v>53</v>
      </c>
      <c r="BE72" s="5" t="s">
        <v>52</v>
      </c>
      <c r="BF72" s="5" t="s">
        <v>54</v>
      </c>
      <c r="BG72" s="6"/>
      <c r="BH72" s="6"/>
      <c r="BI72" s="6" t="s">
        <v>55</v>
      </c>
      <c r="BJ72" s="6" t="s">
        <v>13</v>
      </c>
      <c r="BK72" s="7" t="s">
        <v>13</v>
      </c>
      <c r="BL72" s="5" t="s">
        <v>53</v>
      </c>
    </row>
    <row r="73" spans="1:110" x14ac:dyDescent="0.3">
      <c r="B73">
        <v>0.16500000000000001</v>
      </c>
      <c r="C73" t="s">
        <v>31</v>
      </c>
      <c r="E73" t="s">
        <v>35</v>
      </c>
      <c r="I73" s="9">
        <f>J73*(10^-3)*$B$11*O73/(0.1)</f>
        <v>1.4121631791901885E-2</v>
      </c>
      <c r="J73" s="8">
        <v>16.293563853584732</v>
      </c>
      <c r="K73" s="6"/>
      <c r="L73" s="6"/>
      <c r="M73" s="6">
        <v>1</v>
      </c>
      <c r="N73" s="6">
        <f>M73*60</f>
        <v>60</v>
      </c>
      <c r="O73" s="6">
        <f>N73</f>
        <v>60</v>
      </c>
      <c r="P73" s="6">
        <f t="shared" ref="P73:P84" si="65">I73/$E$76</f>
        <v>6.0869102551301237E-3</v>
      </c>
      <c r="R73" s="9">
        <f>S73*(10^-3)*$B$11*X73/(0.1)</f>
        <v>3.4994201165052894E-3</v>
      </c>
      <c r="S73" s="8">
        <v>4.037637148385012</v>
      </c>
      <c r="T73" s="6"/>
      <c r="U73" s="6">
        <f>V73/60</f>
        <v>1.6666666666666666E-2</v>
      </c>
      <c r="V73" s="6">
        <v>1</v>
      </c>
      <c r="W73" s="6">
        <f>V73*60</f>
        <v>60</v>
      </c>
      <c r="X73" s="6">
        <f>W73</f>
        <v>60</v>
      </c>
      <c r="Y73" s="6">
        <f t="shared" ref="Y73:Y84" si="66">R73/$E$76</f>
        <v>1.5083707398729697E-3</v>
      </c>
      <c r="AA73" s="9">
        <f>AB73*(10^-3)*$B$11*AG73/(0.1)</f>
        <v>8.6842532397111843E-3</v>
      </c>
      <c r="AB73" s="8">
        <v>10.019906818635263</v>
      </c>
      <c r="AC73" s="6"/>
      <c r="AD73" s="6">
        <f>AE73/60</f>
        <v>1.6666666666666666E-2</v>
      </c>
      <c r="AE73" s="6">
        <v>1</v>
      </c>
      <c r="AF73" s="6">
        <f>AE73*60</f>
        <v>60</v>
      </c>
      <c r="AG73" s="6">
        <f>AF73</f>
        <v>60</v>
      </c>
      <c r="AH73" s="6">
        <f t="shared" ref="AH73:AH80" si="67">AA73/$E$76</f>
        <v>3.7432126033237864E-3</v>
      </c>
      <c r="AK73" s="9">
        <f>AL73*(10^-3)*$FC$11*AQ73/(0.1)</f>
        <v>7.3695516365155428E-3</v>
      </c>
      <c r="AL73" s="8">
        <v>13.170544147268052</v>
      </c>
      <c r="AM73" s="6"/>
      <c r="AN73" s="6"/>
      <c r="AO73" s="6">
        <v>1</v>
      </c>
      <c r="AP73" s="6">
        <f t="shared" ref="AP73:AP79" si="68">AO73*60</f>
        <v>60</v>
      </c>
      <c r="AQ73" s="6">
        <f>AP73</f>
        <v>60</v>
      </c>
      <c r="AR73" s="6">
        <f t="shared" ref="AR73:AR78" si="69">AK73/$E$76</f>
        <v>3.1765308778084239E-3</v>
      </c>
      <c r="AU73" s="9">
        <f>AV73*(10^-3)*$B$11*BA73/(0.1)</f>
        <v>8.1918205086825846E-3</v>
      </c>
      <c r="AV73" s="8">
        <v>9.4517370585930358</v>
      </c>
      <c r="AW73" s="6"/>
      <c r="AX73" s="6">
        <f>AY73/60</f>
        <v>1.6666666666666666E-2</v>
      </c>
      <c r="AY73" s="6">
        <v>1</v>
      </c>
      <c r="AZ73" s="6">
        <f>AY73*60</f>
        <v>60</v>
      </c>
      <c r="BA73" s="6">
        <f>AZ73</f>
        <v>60</v>
      </c>
      <c r="BB73" s="6">
        <f t="shared" ref="BB73:BB79" si="70">AU73/$E$76</f>
        <v>3.5309571158114593E-3</v>
      </c>
      <c r="BE73" s="9">
        <f>BF73*(10^-3)*$B$11*BK73/(0.1)</f>
        <v>8.5412287876153407E-3</v>
      </c>
      <c r="BF73" s="8">
        <v>9.8548849516734052</v>
      </c>
      <c r="BG73" s="6"/>
      <c r="BH73" s="6">
        <f>BI73/60</f>
        <v>1.6666666666666666E-2</v>
      </c>
      <c r="BI73" s="6">
        <v>1</v>
      </c>
      <c r="BJ73" s="6">
        <f>BI73*60</f>
        <v>60</v>
      </c>
      <c r="BK73" s="6">
        <f>BJ73</f>
        <v>60</v>
      </c>
      <c r="BL73" s="6">
        <f t="shared" ref="BL73:BL79" si="71">BE73/$E$76</f>
        <v>3.6815641325928196E-3</v>
      </c>
    </row>
    <row r="74" spans="1:110" x14ac:dyDescent="0.3">
      <c r="B74">
        <v>0.157</v>
      </c>
      <c r="C74" t="s">
        <v>31</v>
      </c>
      <c r="I74" s="9">
        <f>(J74*(10^-3)*$B$11*O74/(0.1))+I73</f>
        <v>0.12784470800945127</v>
      </c>
      <c r="J74" s="6">
        <v>14.579320823243897</v>
      </c>
      <c r="K74" s="6"/>
      <c r="L74" s="6"/>
      <c r="M74" s="6">
        <v>10</v>
      </c>
      <c r="N74" s="6">
        <f t="shared" ref="N74:N84" si="72">M74*60</f>
        <v>600</v>
      </c>
      <c r="O74" s="6">
        <f>N74-N73</f>
        <v>540</v>
      </c>
      <c r="P74" s="6">
        <f t="shared" si="65"/>
        <v>5.5105477590280727E-2</v>
      </c>
      <c r="R74" s="9">
        <f>(S74*(10^-3)*$B$11*X74/(0.1))+R73</f>
        <v>3.4401087156317608E-2</v>
      </c>
      <c r="S74" s="6">
        <v>3.9615998153676553</v>
      </c>
      <c r="T74" s="6"/>
      <c r="U74" s="6">
        <f t="shared" ref="U74:U84" si="73">V74/60</f>
        <v>0.16666666666666666</v>
      </c>
      <c r="V74" s="6">
        <v>10</v>
      </c>
      <c r="W74" s="6">
        <f t="shared" ref="W74:W84" si="74">V74*60</f>
        <v>600</v>
      </c>
      <c r="X74" s="6">
        <f>W74-W73</f>
        <v>540</v>
      </c>
      <c r="Y74" s="6">
        <f t="shared" si="66"/>
        <v>1.4828054808757591E-2</v>
      </c>
      <c r="AA74" s="9">
        <f>(AB74*(10^-3)*$B$11*AG74/(0.1))+AA73</f>
        <v>8.157002444736601E-2</v>
      </c>
      <c r="AB74" s="6">
        <v>9.3439702585355473</v>
      </c>
      <c r="AC74" s="6"/>
      <c r="AD74" s="6">
        <f t="shared" ref="AD74:AD83" si="75">AE74/60</f>
        <v>0.16666666666666666</v>
      </c>
      <c r="AE74" s="6">
        <v>10</v>
      </c>
      <c r="AF74" s="6">
        <f t="shared" ref="AF74:AF80" si="76">AE74*60</f>
        <v>600</v>
      </c>
      <c r="AG74" s="6">
        <f>AF74-AF73</f>
        <v>540</v>
      </c>
      <c r="AH74" s="6">
        <f t="shared" si="67"/>
        <v>3.5159493296278453E-2</v>
      </c>
      <c r="AK74" s="9">
        <f t="shared" ref="AK74:AK79" si="77">AL74*(10^-3)*$FC$11*AQ74/(0.1)+AK73</f>
        <v>6.6619498563144211E-2</v>
      </c>
      <c r="AL74" s="6">
        <v>11.765438239958101</v>
      </c>
      <c r="AM74" s="6"/>
      <c r="AN74" s="6"/>
      <c r="AO74" s="6">
        <v>10</v>
      </c>
      <c r="AP74" s="6">
        <f t="shared" si="68"/>
        <v>600</v>
      </c>
      <c r="AQ74" s="6">
        <f t="shared" ref="AQ74:AQ79" si="78">AP74-AP73</f>
        <v>540</v>
      </c>
      <c r="AR74" s="6">
        <f t="shared" si="69"/>
        <v>2.8715301104803543E-2</v>
      </c>
      <c r="AU74" s="9">
        <f t="shared" ref="AU74:AU81" si="79">(AV74*(10^-3)*$B$11*BA74/(0.1))+AU73</f>
        <v>8.1085697080773941E-2</v>
      </c>
      <c r="AV74" s="6">
        <v>9.3450093678565391</v>
      </c>
      <c r="AW74" s="6"/>
      <c r="AX74" s="6">
        <f t="shared" ref="AX74:AX81" si="80">AY74/60</f>
        <v>0.16666666666666666</v>
      </c>
      <c r="AY74" s="6">
        <v>10</v>
      </c>
      <c r="AZ74" s="6">
        <f t="shared" ref="AZ74:AZ81" si="81">AY74*60</f>
        <v>600</v>
      </c>
      <c r="BA74" s="6">
        <f t="shared" ref="BA74:BA81" si="82">AZ74-AZ73</f>
        <v>540</v>
      </c>
      <c r="BB74" s="6">
        <f t="shared" si="70"/>
        <v>3.49507315003336E-2</v>
      </c>
      <c r="BE74" s="9">
        <f>(BF74*(10^-3)*$B$11*BK74/(0.1))+BE73</f>
        <v>8.1292398770753824E-2</v>
      </c>
      <c r="BF74" s="6">
        <v>9.3267143549784599</v>
      </c>
      <c r="BG74" s="6"/>
      <c r="BH74" s="6">
        <f t="shared" ref="BH74:BH87" si="83">BI74/60</f>
        <v>0.16666666666666666</v>
      </c>
      <c r="BI74" s="6">
        <v>10</v>
      </c>
      <c r="BJ74" s="6">
        <f t="shared" ref="BJ74:BJ79" si="84">BI74*60</f>
        <v>600</v>
      </c>
      <c r="BK74" s="6">
        <f t="shared" ref="BK74:BK87" si="85">BJ74-BJ73</f>
        <v>540</v>
      </c>
      <c r="BL74" s="6">
        <f t="shared" si="71"/>
        <v>3.5039827056359406E-2</v>
      </c>
    </row>
    <row r="75" spans="1:110" x14ac:dyDescent="0.3">
      <c r="B75">
        <v>4.0000000000000001E-3</v>
      </c>
      <c r="C75" t="s">
        <v>31</v>
      </c>
      <c r="E75" s="1" t="s">
        <v>38</v>
      </c>
      <c r="F75" s="1"/>
      <c r="G75" s="1" t="s">
        <v>39</v>
      </c>
      <c r="I75" s="9">
        <f>(J75*(10^-3)*$B$11*O75/(0.1))+I74</f>
        <v>0.24136607519467049</v>
      </c>
      <c r="J75" s="6">
        <v>13.098115516928488</v>
      </c>
      <c r="K75" s="6"/>
      <c r="L75" s="6"/>
      <c r="M75" s="6">
        <v>20</v>
      </c>
      <c r="N75" s="6">
        <f t="shared" si="72"/>
        <v>1200</v>
      </c>
      <c r="O75" s="6">
        <f t="shared" ref="O75:O84" si="86">N75-N74</f>
        <v>600</v>
      </c>
      <c r="P75" s="6">
        <f t="shared" si="65"/>
        <v>0.10403710137701315</v>
      </c>
      <c r="R75" s="9">
        <f>(S75*(10^-3)*$B$11*X75/(0.1))+R74</f>
        <v>6.4326885108561938E-2</v>
      </c>
      <c r="S75" s="6">
        <v>3.4528438851095342</v>
      </c>
      <c r="T75" s="6"/>
      <c r="U75" s="6">
        <f t="shared" si="73"/>
        <v>0.33333333333333331</v>
      </c>
      <c r="V75" s="6">
        <v>20</v>
      </c>
      <c r="W75" s="6">
        <f t="shared" si="74"/>
        <v>1200</v>
      </c>
      <c r="X75" s="6">
        <f t="shared" ref="X75:X84" si="87">W75-W74</f>
        <v>600</v>
      </c>
      <c r="Y75" s="6">
        <f t="shared" si="66"/>
        <v>2.7727105650242216E-2</v>
      </c>
      <c r="AA75" s="9">
        <f>(AB75*(10^-3)*$B$11*AG75/(0.1))+AA74</f>
        <v>0.15404901457945958</v>
      </c>
      <c r="AB75" s="6">
        <v>8.3626387599046446</v>
      </c>
      <c r="AC75" s="6"/>
      <c r="AD75" s="6">
        <f t="shared" si="75"/>
        <v>0.33333333333333331</v>
      </c>
      <c r="AE75" s="6">
        <v>20</v>
      </c>
      <c r="AF75" s="6">
        <f t="shared" si="76"/>
        <v>1200</v>
      </c>
      <c r="AG75" s="6">
        <f t="shared" ref="AG75:AG80" si="88">AF75-AF74</f>
        <v>600</v>
      </c>
      <c r="AH75" s="6">
        <f t="shared" si="67"/>
        <v>6.6400437318732575E-2</v>
      </c>
      <c r="AK75" s="9">
        <f t="shared" si="77"/>
        <v>0.1295433227791048</v>
      </c>
      <c r="AL75" s="6">
        <v>11.245473885343275</v>
      </c>
      <c r="AM75" s="6"/>
      <c r="AN75" s="6"/>
      <c r="AO75" s="6">
        <v>20</v>
      </c>
      <c r="AP75" s="6">
        <f t="shared" si="68"/>
        <v>1200</v>
      </c>
      <c r="AQ75" s="6">
        <f t="shared" si="78"/>
        <v>600</v>
      </c>
      <c r="AR75" s="6">
        <f t="shared" si="69"/>
        <v>5.5837639128924484E-2</v>
      </c>
      <c r="AU75" s="9">
        <f t="shared" si="79"/>
        <v>0.15446041364073571</v>
      </c>
      <c r="AV75" s="6">
        <v>8.4659878343096526</v>
      </c>
      <c r="AW75" s="6"/>
      <c r="AX75" s="6">
        <f t="shared" si="80"/>
        <v>0.33333333333333331</v>
      </c>
      <c r="AY75" s="6">
        <v>20</v>
      </c>
      <c r="AZ75" s="6">
        <f t="shared" si="81"/>
        <v>1200</v>
      </c>
      <c r="BA75" s="6">
        <f t="shared" si="82"/>
        <v>600</v>
      </c>
      <c r="BB75" s="6">
        <f t="shared" si="70"/>
        <v>6.6577764500317119E-2</v>
      </c>
      <c r="BE75" s="9">
        <f>(BF75*(10^-3)*$B$11*BK75/(0.1))+BE74</f>
        <v>0.15407986787600897</v>
      </c>
      <c r="BF75" s="6">
        <v>8.3982311186402594</v>
      </c>
      <c r="BG75" s="6"/>
      <c r="BH75" s="6">
        <f t="shared" si="83"/>
        <v>0.33333333333333331</v>
      </c>
      <c r="BI75" s="6">
        <v>20</v>
      </c>
      <c r="BJ75" s="6">
        <f t="shared" si="84"/>
        <v>1200</v>
      </c>
      <c r="BK75" s="6">
        <f t="shared" si="85"/>
        <v>600</v>
      </c>
      <c r="BL75" s="6">
        <f t="shared" si="71"/>
        <v>6.6413736153452141E-2</v>
      </c>
    </row>
    <row r="76" spans="1:110" x14ac:dyDescent="0.3">
      <c r="B76">
        <v>9.4199999999999996E-6</v>
      </c>
      <c r="C76" t="s">
        <v>41</v>
      </c>
      <c r="E76">
        <v>2.3199999999999998</v>
      </c>
      <c r="I76" s="9">
        <f>(J76*(10^-3)*$B$11*O76/(0.1))+I75</f>
        <v>0.33665414629741935</v>
      </c>
      <c r="J76" s="6">
        <v>10.994354575141212</v>
      </c>
      <c r="K76" s="6"/>
      <c r="L76" s="6"/>
      <c r="M76" s="6">
        <v>30</v>
      </c>
      <c r="N76" s="6">
        <f t="shared" si="72"/>
        <v>1800</v>
      </c>
      <c r="O76" s="6">
        <f t="shared" si="86"/>
        <v>600</v>
      </c>
      <c r="P76" s="6">
        <f t="shared" si="65"/>
        <v>0.14510954581785318</v>
      </c>
      <c r="R76" s="9">
        <f>(S76*(10^-3)*$B$11*X76/(0.1))+R75</f>
        <v>9.1284362909232988E-2</v>
      </c>
      <c r="S76" s="6">
        <v>3.1103585785936363</v>
      </c>
      <c r="T76" s="6"/>
      <c r="U76" s="6">
        <f t="shared" si="73"/>
        <v>0.5</v>
      </c>
      <c r="V76" s="6">
        <v>30</v>
      </c>
      <c r="W76" s="6">
        <f t="shared" si="74"/>
        <v>1800</v>
      </c>
      <c r="X76" s="6">
        <f t="shared" si="87"/>
        <v>600</v>
      </c>
      <c r="Y76" s="6">
        <f t="shared" si="66"/>
        <v>3.9346708150531463E-2</v>
      </c>
      <c r="AA76" s="9">
        <f>(AB76*(10^-3)*$B$11*AG76/(0.1))+AA75</f>
        <v>0.27298667652378261</v>
      </c>
      <c r="AB76" s="6">
        <v>6.8615242843153945</v>
      </c>
      <c r="AC76" s="6"/>
      <c r="AD76" s="6">
        <f t="shared" si="75"/>
        <v>0.66666666666666663</v>
      </c>
      <c r="AE76" s="6">
        <v>40</v>
      </c>
      <c r="AF76" s="6">
        <f t="shared" si="76"/>
        <v>2400</v>
      </c>
      <c r="AG76" s="6">
        <f t="shared" si="88"/>
        <v>1200</v>
      </c>
      <c r="AH76" s="6">
        <f t="shared" si="67"/>
        <v>0.11766667091542354</v>
      </c>
      <c r="AK76" s="9">
        <f t="shared" si="77"/>
        <v>0.23392450205903287</v>
      </c>
      <c r="AL76" s="6">
        <v>9.3272765946735685</v>
      </c>
      <c r="AM76" s="6"/>
      <c r="AN76" s="6"/>
      <c r="AO76" s="6">
        <v>40</v>
      </c>
      <c r="AP76" s="6">
        <f t="shared" si="68"/>
        <v>2400</v>
      </c>
      <c r="AQ76" s="6">
        <f t="shared" si="78"/>
        <v>1200</v>
      </c>
      <c r="AR76" s="6">
        <f t="shared" si="69"/>
        <v>0.10082952674958313</v>
      </c>
      <c r="AU76" s="9">
        <f t="shared" si="79"/>
        <v>0.27565184075561217</v>
      </c>
      <c r="AV76" s="6">
        <v>6.9915441972352887</v>
      </c>
      <c r="AW76" s="6"/>
      <c r="AX76" s="6">
        <f t="shared" si="80"/>
        <v>0.66666666666666663</v>
      </c>
      <c r="AY76" s="6">
        <v>40</v>
      </c>
      <c r="AZ76" s="6">
        <f t="shared" si="81"/>
        <v>2400</v>
      </c>
      <c r="BA76" s="6">
        <f t="shared" si="82"/>
        <v>1200</v>
      </c>
      <c r="BB76" s="6">
        <f t="shared" si="70"/>
        <v>0.11881544860155697</v>
      </c>
      <c r="BE76" s="9">
        <f>(BF76*(10^-3)*$B$11*BK76/(0.1))+BE75</f>
        <v>0.26913395160344478</v>
      </c>
      <c r="BF76" s="6">
        <v>6.6374803119554535</v>
      </c>
      <c r="BG76" s="6"/>
      <c r="BH76" s="6">
        <f t="shared" si="83"/>
        <v>0.66666666666666663</v>
      </c>
      <c r="BI76" s="6">
        <v>40</v>
      </c>
      <c r="BJ76" s="6">
        <f t="shared" si="84"/>
        <v>2400</v>
      </c>
      <c r="BK76" s="6">
        <f t="shared" si="85"/>
        <v>1200</v>
      </c>
      <c r="BL76" s="6">
        <f t="shared" si="71"/>
        <v>0.11600601362217448</v>
      </c>
    </row>
    <row r="77" spans="1:110" x14ac:dyDescent="0.3">
      <c r="B77">
        <v>2.5120000000000003E-7</v>
      </c>
      <c r="C77" t="s">
        <v>41</v>
      </c>
      <c r="I77" s="9">
        <f t="shared" ref="I77:I84" si="89">(J77*(10^-3)*$B$11*O77/(0.1))+I76</f>
        <v>0.42115735029115353</v>
      </c>
      <c r="J77" s="6">
        <v>9.7499946917888742</v>
      </c>
      <c r="K77" s="6"/>
      <c r="L77" s="6"/>
      <c r="M77" s="7">
        <v>40</v>
      </c>
      <c r="N77" s="6">
        <f t="shared" si="72"/>
        <v>2400</v>
      </c>
      <c r="O77" s="6">
        <f t="shared" si="86"/>
        <v>600</v>
      </c>
      <c r="P77" s="6">
        <f t="shared" si="65"/>
        <v>0.1815333406427386</v>
      </c>
      <c r="R77" s="9">
        <f t="shared" ref="R77:R84" si="90">(S77*(10^-3)*$B$11*X77/(0.1))+R76</f>
        <v>0.11479551678349938</v>
      </c>
      <c r="S77" s="6">
        <v>2.7127211116033672</v>
      </c>
      <c r="T77" s="6"/>
      <c r="U77" s="6">
        <f t="shared" si="73"/>
        <v>0.66666666666666663</v>
      </c>
      <c r="V77" s="7">
        <v>40</v>
      </c>
      <c r="W77" s="6">
        <f t="shared" si="74"/>
        <v>2400</v>
      </c>
      <c r="X77" s="6">
        <f t="shared" si="87"/>
        <v>600</v>
      </c>
      <c r="Y77" s="6">
        <f t="shared" si="66"/>
        <v>4.9480826199784216E-2</v>
      </c>
      <c r="AA77" s="9">
        <f t="shared" ref="AA77:AA83" si="91">(AB77*(10^-3)*$B$11*AG77/(0.1))+AA76</f>
        <v>0.40230257891327315</v>
      </c>
      <c r="AB77" s="6">
        <v>4.9734972650855935</v>
      </c>
      <c r="AC77" s="6"/>
      <c r="AD77" s="6">
        <f t="shared" si="75"/>
        <v>1.1666666666666667</v>
      </c>
      <c r="AE77" s="7">
        <v>70</v>
      </c>
      <c r="AF77" s="6">
        <f t="shared" si="76"/>
        <v>4200</v>
      </c>
      <c r="AG77" s="6">
        <f t="shared" si="88"/>
        <v>1800</v>
      </c>
      <c r="AH77" s="6">
        <f t="shared" si="67"/>
        <v>0.17340628401434188</v>
      </c>
      <c r="AK77" s="9">
        <f t="shared" si="77"/>
        <v>0.36226853875608356</v>
      </c>
      <c r="AL77" s="6">
        <v>7.6456971637256474</v>
      </c>
      <c r="AM77" s="6"/>
      <c r="AN77" s="6"/>
      <c r="AO77" s="7">
        <v>70</v>
      </c>
      <c r="AP77" s="6">
        <f t="shared" si="68"/>
        <v>4200</v>
      </c>
      <c r="AQ77" s="6">
        <f t="shared" si="78"/>
        <v>1800</v>
      </c>
      <c r="AR77" s="6">
        <f t="shared" si="69"/>
        <v>0.15615023222244981</v>
      </c>
      <c r="AU77" s="9">
        <f t="shared" si="79"/>
        <v>0.37114537717368357</v>
      </c>
      <c r="AV77" s="6">
        <v>5.5090305998656648</v>
      </c>
      <c r="AW77" s="6"/>
      <c r="AX77" s="6">
        <f t="shared" si="80"/>
        <v>1</v>
      </c>
      <c r="AY77" s="7">
        <v>60</v>
      </c>
      <c r="AZ77" s="6">
        <f t="shared" si="81"/>
        <v>3600</v>
      </c>
      <c r="BA77" s="6">
        <f t="shared" si="82"/>
        <v>1200</v>
      </c>
      <c r="BB77" s="6">
        <f t="shared" si="70"/>
        <v>0.1599764556783119</v>
      </c>
      <c r="BE77" s="9">
        <f t="shared" ref="BE77:BE87" si="92">(BF77*(10^-3)*$B$11*BK77/(0.1))+BE76</f>
        <v>0.37113242637004784</v>
      </c>
      <c r="BF77" s="6">
        <v>5.8843010711089789</v>
      </c>
      <c r="BG77" s="6"/>
      <c r="BH77" s="6">
        <f t="shared" si="83"/>
        <v>1</v>
      </c>
      <c r="BI77" s="7">
        <v>60</v>
      </c>
      <c r="BJ77" s="6">
        <f t="shared" si="84"/>
        <v>3600</v>
      </c>
      <c r="BK77" s="6">
        <f t="shared" si="85"/>
        <v>1200</v>
      </c>
      <c r="BL77" s="6">
        <f t="shared" si="71"/>
        <v>0.15997087343536545</v>
      </c>
    </row>
    <row r="78" spans="1:110" x14ac:dyDescent="0.3">
      <c r="B78">
        <v>1.0067905715999998E-6</v>
      </c>
      <c r="C78" t="s">
        <v>41</v>
      </c>
      <c r="I78" s="9">
        <f t="shared" si="89"/>
        <v>0.49584412422239676</v>
      </c>
      <c r="J78" s="6">
        <v>8.6173732469416446</v>
      </c>
      <c r="K78" s="6"/>
      <c r="L78" s="6"/>
      <c r="M78" s="7">
        <v>50</v>
      </c>
      <c r="N78" s="6">
        <f t="shared" si="72"/>
        <v>3000</v>
      </c>
      <c r="O78" s="6">
        <f t="shared" si="86"/>
        <v>600</v>
      </c>
      <c r="P78" s="6">
        <f t="shared" si="65"/>
        <v>0.21372591561310206</v>
      </c>
      <c r="R78" s="9">
        <f t="shared" si="90"/>
        <v>0.15467587183430265</v>
      </c>
      <c r="S78" s="6">
        <v>2.3007012259607276</v>
      </c>
      <c r="T78" s="6"/>
      <c r="U78" s="6">
        <f t="shared" si="73"/>
        <v>1</v>
      </c>
      <c r="V78" s="7">
        <v>60</v>
      </c>
      <c r="W78" s="6">
        <f t="shared" si="74"/>
        <v>3600</v>
      </c>
      <c r="X78" s="6">
        <f t="shared" si="87"/>
        <v>1200</v>
      </c>
      <c r="Y78" s="6">
        <f t="shared" si="66"/>
        <v>6.6670634411337359E-2</v>
      </c>
      <c r="AA78" s="9">
        <f t="shared" si="91"/>
        <v>0.50229813329242434</v>
      </c>
      <c r="AB78" s="6">
        <v>3.8458349440079695</v>
      </c>
      <c r="AC78" s="6"/>
      <c r="AD78" s="6">
        <f t="shared" si="75"/>
        <v>1.6666666666666667</v>
      </c>
      <c r="AE78" s="7">
        <v>100</v>
      </c>
      <c r="AF78" s="6">
        <f t="shared" si="76"/>
        <v>6000</v>
      </c>
      <c r="AG78" s="6">
        <f t="shared" si="88"/>
        <v>1800</v>
      </c>
      <c r="AH78" s="6">
        <f t="shared" si="67"/>
        <v>0.21650781607432085</v>
      </c>
      <c r="AK78" s="9">
        <f t="shared" si="77"/>
        <v>0.46591103666770733</v>
      </c>
      <c r="AL78" s="6">
        <v>6.174179749346723</v>
      </c>
      <c r="AM78" s="6"/>
      <c r="AN78" s="6"/>
      <c r="AO78" s="7">
        <v>100</v>
      </c>
      <c r="AP78" s="6">
        <f t="shared" si="68"/>
        <v>6000</v>
      </c>
      <c r="AQ78" s="6">
        <f t="shared" si="78"/>
        <v>1800</v>
      </c>
      <c r="AR78" s="6">
        <f t="shared" si="69"/>
        <v>0.20082372270159801</v>
      </c>
      <c r="AU78" s="9">
        <f t="shared" si="79"/>
        <v>0.48808574157234758</v>
      </c>
      <c r="AV78" s="6">
        <v>4.4975333409739626</v>
      </c>
      <c r="AW78" s="6"/>
      <c r="AX78" s="6">
        <f t="shared" si="80"/>
        <v>1.5</v>
      </c>
      <c r="AY78" s="7">
        <v>90</v>
      </c>
      <c r="AZ78" s="6">
        <f t="shared" si="81"/>
        <v>5400</v>
      </c>
      <c r="BA78" s="6">
        <f t="shared" si="82"/>
        <v>1800</v>
      </c>
      <c r="BB78" s="6">
        <f t="shared" si="70"/>
        <v>0.21038178516049466</v>
      </c>
      <c r="BE78" s="9">
        <f t="shared" si="92"/>
        <v>0.489907751516794</v>
      </c>
      <c r="BF78" s="6">
        <v>4.5681060400271587</v>
      </c>
      <c r="BG78" s="6"/>
      <c r="BH78" s="6">
        <f t="shared" si="83"/>
        <v>1.5</v>
      </c>
      <c r="BI78" s="7">
        <v>90</v>
      </c>
      <c r="BJ78" s="6">
        <f t="shared" si="84"/>
        <v>5400</v>
      </c>
      <c r="BK78" s="6">
        <f t="shared" si="85"/>
        <v>1800</v>
      </c>
      <c r="BL78" s="6">
        <f t="shared" si="71"/>
        <v>0.21116713427448019</v>
      </c>
    </row>
    <row r="79" spans="1:110" x14ac:dyDescent="0.3">
      <c r="B79">
        <v>1.03924094284E-5</v>
      </c>
      <c r="C79" t="s">
        <v>41</v>
      </c>
      <c r="I79" s="9">
        <f t="shared" si="89"/>
        <v>0.56645970140377377</v>
      </c>
      <c r="J79" s="6">
        <v>8.147637842549555</v>
      </c>
      <c r="K79" s="6"/>
      <c r="L79" s="6"/>
      <c r="M79" s="7">
        <v>60</v>
      </c>
      <c r="N79" s="6">
        <f t="shared" si="72"/>
        <v>3600</v>
      </c>
      <c r="O79" s="6">
        <f t="shared" si="86"/>
        <v>600</v>
      </c>
      <c r="P79" s="6">
        <f t="shared" si="65"/>
        <v>0.24416366439817838</v>
      </c>
      <c r="R79" s="9">
        <f t="shared" si="90"/>
        <v>0.18894258013884335</v>
      </c>
      <c r="S79" s="6">
        <v>1.9768494464371011</v>
      </c>
      <c r="T79" s="6"/>
      <c r="U79" s="6">
        <f t="shared" si="73"/>
        <v>1.3333333333333333</v>
      </c>
      <c r="V79" s="7">
        <v>80</v>
      </c>
      <c r="W79" s="6">
        <f t="shared" si="74"/>
        <v>4800</v>
      </c>
      <c r="X79" s="6">
        <f t="shared" si="87"/>
        <v>1200</v>
      </c>
      <c r="Y79" s="6">
        <f t="shared" si="66"/>
        <v>8.1440767301225583E-2</v>
      </c>
      <c r="AA79" s="9">
        <f t="shared" si="91"/>
        <v>0.71080801160069251</v>
      </c>
      <c r="AB79" s="6">
        <v>2.4057906808384475</v>
      </c>
      <c r="AC79" s="6"/>
      <c r="AD79" s="6">
        <f t="shared" si="75"/>
        <v>3.3333333333333335</v>
      </c>
      <c r="AE79" s="7">
        <v>200</v>
      </c>
      <c r="AF79" s="6">
        <f t="shared" si="76"/>
        <v>12000</v>
      </c>
      <c r="AG79" s="6">
        <f t="shared" si="88"/>
        <v>6000</v>
      </c>
      <c r="AH79" s="6">
        <f t="shared" si="67"/>
        <v>0.30638276362098815</v>
      </c>
      <c r="AK79" s="9">
        <f t="shared" si="77"/>
        <v>0.82336610528964882</v>
      </c>
      <c r="AL79" s="6">
        <v>3.1941412409832712</v>
      </c>
      <c r="AM79" s="6"/>
      <c r="AN79" s="6"/>
      <c r="AO79" s="7">
        <v>300</v>
      </c>
      <c r="AP79" s="6">
        <f t="shared" si="68"/>
        <v>18000</v>
      </c>
      <c r="AQ79" s="6">
        <f t="shared" si="78"/>
        <v>12000</v>
      </c>
      <c r="AR79" s="6">
        <f>AK79/$E$76</f>
        <v>0.35489918331450382</v>
      </c>
      <c r="AU79" s="9">
        <f t="shared" si="79"/>
        <v>0.57960748798722195</v>
      </c>
      <c r="AV79" s="6">
        <v>3.5199317878110232</v>
      </c>
      <c r="AW79" s="6"/>
      <c r="AX79" s="6">
        <f t="shared" si="80"/>
        <v>2</v>
      </c>
      <c r="AY79" s="7">
        <v>120</v>
      </c>
      <c r="AZ79" s="6">
        <f t="shared" si="81"/>
        <v>7200</v>
      </c>
      <c r="BA79" s="6">
        <f t="shared" si="82"/>
        <v>1800</v>
      </c>
      <c r="BB79" s="6">
        <f t="shared" si="70"/>
        <v>0.2498308137875957</v>
      </c>
      <c r="BE79" s="9">
        <f t="shared" si="92"/>
        <v>1.229091288059116</v>
      </c>
      <c r="BF79" s="6">
        <v>1.2360453302671</v>
      </c>
      <c r="BG79" s="6"/>
      <c r="BH79" s="6">
        <f t="shared" si="83"/>
        <v>13</v>
      </c>
      <c r="BI79" s="7">
        <v>780</v>
      </c>
      <c r="BJ79" s="6">
        <f t="shared" si="84"/>
        <v>46800</v>
      </c>
      <c r="BK79" s="6">
        <f t="shared" si="85"/>
        <v>41400</v>
      </c>
      <c r="BL79" s="6">
        <f t="shared" si="71"/>
        <v>0.52978072761168804</v>
      </c>
    </row>
    <row r="80" spans="1:110" x14ac:dyDescent="0.3">
      <c r="B80">
        <v>5.3898238959999999E-5</v>
      </c>
      <c r="C80" t="s">
        <v>46</v>
      </c>
      <c r="I80" s="9">
        <f t="shared" si="89"/>
        <v>0.68481193291219644</v>
      </c>
      <c r="J80" s="6">
        <v>6.82775075045706</v>
      </c>
      <c r="K80" s="6"/>
      <c r="L80" s="6"/>
      <c r="M80" s="7">
        <v>80</v>
      </c>
      <c r="N80" s="6">
        <f t="shared" si="72"/>
        <v>4800</v>
      </c>
      <c r="O80" s="6">
        <f t="shared" si="86"/>
        <v>1200</v>
      </c>
      <c r="P80" s="6">
        <f t="shared" si="65"/>
        <v>0.29517755728973988</v>
      </c>
      <c r="R80" s="9">
        <f t="shared" si="90"/>
        <v>0.21942204699689646</v>
      </c>
      <c r="S80" s="6">
        <v>1.7583631509203359</v>
      </c>
      <c r="T80" s="6"/>
      <c r="U80" s="6">
        <f t="shared" si="73"/>
        <v>1.6666666666666667</v>
      </c>
      <c r="V80" s="7">
        <v>100</v>
      </c>
      <c r="W80" s="6">
        <f t="shared" si="74"/>
        <v>6000</v>
      </c>
      <c r="X80" s="6">
        <f t="shared" si="87"/>
        <v>1200</v>
      </c>
      <c r="Y80" s="6">
        <f t="shared" si="66"/>
        <v>9.4578468533145041E-2</v>
      </c>
      <c r="AA80" s="9">
        <f t="shared" si="91"/>
        <v>1.8131612453559407</v>
      </c>
      <c r="AB80" s="6">
        <v>1.3388390735035474</v>
      </c>
      <c r="AC80" s="6"/>
      <c r="AD80" s="6">
        <f t="shared" si="75"/>
        <v>19.166666666666668</v>
      </c>
      <c r="AE80" s="7">
        <v>1150</v>
      </c>
      <c r="AF80" s="6">
        <f t="shared" si="76"/>
        <v>69000</v>
      </c>
      <c r="AG80" s="6">
        <f t="shared" si="88"/>
        <v>57000</v>
      </c>
      <c r="AH80" s="6">
        <f t="shared" si="67"/>
        <v>0.78153501954997451</v>
      </c>
      <c r="AK80" s="9"/>
      <c r="AL80" s="6"/>
      <c r="AM80" s="6"/>
      <c r="AN80" s="6"/>
      <c r="AO80" s="7"/>
      <c r="AP80" s="6"/>
      <c r="AQ80" s="6"/>
      <c r="AR80" s="6"/>
      <c r="AU80" s="9">
        <f t="shared" si="79"/>
        <v>0.91475923498712008</v>
      </c>
      <c r="AV80" s="6">
        <v>1.6112445050185478</v>
      </c>
      <c r="AW80" s="6"/>
      <c r="AX80" s="6">
        <f t="shared" si="80"/>
        <v>6</v>
      </c>
      <c r="AY80" s="7">
        <v>360</v>
      </c>
      <c r="AZ80" s="6">
        <f t="shared" si="81"/>
        <v>21600</v>
      </c>
      <c r="BA80" s="6">
        <f t="shared" si="82"/>
        <v>14400</v>
      </c>
      <c r="BB80" s="6">
        <f>AU80/$E$76</f>
        <v>0.39429277370134491</v>
      </c>
      <c r="BE80" s="9">
        <f t="shared" si="92"/>
        <v>1.4080875725484154</v>
      </c>
      <c r="BF80" s="6">
        <v>0.86052596289228989</v>
      </c>
      <c r="BG80" s="6"/>
      <c r="BH80" s="6">
        <f t="shared" si="83"/>
        <v>17</v>
      </c>
      <c r="BI80" s="7">
        <v>1020</v>
      </c>
      <c r="BJ80" s="6">
        <f t="shared" ref="BJ80:BJ87" si="93">BI80*60</f>
        <v>61200</v>
      </c>
      <c r="BK80" s="6">
        <f t="shared" si="85"/>
        <v>14400</v>
      </c>
      <c r="BL80" s="6">
        <f t="shared" ref="BL80:BL87" si="94">BE80/$E$76</f>
        <v>0.60693429851224812</v>
      </c>
    </row>
    <row r="81" spans="2:64" x14ac:dyDescent="0.3">
      <c r="B81">
        <v>1.728E-6</v>
      </c>
      <c r="C81" t="s">
        <v>41</v>
      </c>
      <c r="I81" s="9">
        <f t="shared" si="89"/>
        <v>0.8540218395984428</v>
      </c>
      <c r="J81" s="6">
        <v>6.5078230332005074</v>
      </c>
      <c r="K81" s="6"/>
      <c r="L81" s="6"/>
      <c r="M81" s="7">
        <v>110</v>
      </c>
      <c r="N81" s="6">
        <f t="shared" si="72"/>
        <v>6600</v>
      </c>
      <c r="O81" s="6">
        <f t="shared" si="86"/>
        <v>1800</v>
      </c>
      <c r="P81" s="6">
        <f t="shared" si="65"/>
        <v>0.36811286189588055</v>
      </c>
      <c r="R81" s="9">
        <f t="shared" si="90"/>
        <v>0.24736461486302883</v>
      </c>
      <c r="S81" s="6">
        <v>1.6120092226913796</v>
      </c>
      <c r="T81" s="6"/>
      <c r="U81" s="6">
        <f t="shared" si="73"/>
        <v>2</v>
      </c>
      <c r="V81" s="7">
        <v>120</v>
      </c>
      <c r="W81" s="6">
        <f t="shared" si="74"/>
        <v>7200</v>
      </c>
      <c r="X81" s="6">
        <f t="shared" si="87"/>
        <v>1200</v>
      </c>
      <c r="Y81" s="6">
        <f t="shared" si="66"/>
        <v>0.10662267882027106</v>
      </c>
      <c r="AA81" s="9">
        <f t="shared" si="91"/>
        <v>2.1155958602312865</v>
      </c>
      <c r="AB81">
        <v>1.2032744690536277</v>
      </c>
      <c r="AC81" s="6"/>
      <c r="AD81" s="6">
        <f t="shared" si="75"/>
        <v>24</v>
      </c>
      <c r="AE81">
        <v>1440</v>
      </c>
      <c r="AF81" s="6">
        <f>AE81*60</f>
        <v>86400</v>
      </c>
      <c r="AG81" s="6">
        <f>AF81-AF80</f>
        <v>17400</v>
      </c>
      <c r="AH81" s="6">
        <f>AA81/$E$76</f>
        <v>0.91189476734107189</v>
      </c>
      <c r="AK81" s="9"/>
      <c r="AM81" s="6"/>
      <c r="AN81" s="6"/>
      <c r="AP81" s="6"/>
      <c r="AQ81" s="6"/>
      <c r="AR81" s="6"/>
      <c r="AU81" s="9">
        <f t="shared" si="79"/>
        <v>1.1694052187104591</v>
      </c>
      <c r="AV81">
        <v>1.2242124520371283</v>
      </c>
      <c r="AW81" s="6"/>
      <c r="AX81" s="6">
        <f t="shared" si="80"/>
        <v>10</v>
      </c>
      <c r="AY81" s="21">
        <v>600</v>
      </c>
      <c r="AZ81" s="6">
        <f t="shared" si="81"/>
        <v>36000</v>
      </c>
      <c r="BA81" s="6">
        <f t="shared" si="82"/>
        <v>14400</v>
      </c>
      <c r="BB81" s="6">
        <f>AU81/$E$76</f>
        <v>0.50405397358209447</v>
      </c>
      <c r="BE81" s="9">
        <f t="shared" si="92"/>
        <v>1.5912085908052271</v>
      </c>
      <c r="BF81">
        <v>0.88035565101732471</v>
      </c>
      <c r="BG81" s="6"/>
      <c r="BH81" s="6">
        <f t="shared" si="83"/>
        <v>21</v>
      </c>
      <c r="BI81" s="21">
        <v>1260</v>
      </c>
      <c r="BJ81" s="6">
        <f t="shared" si="93"/>
        <v>75600</v>
      </c>
      <c r="BK81" s="6">
        <f t="shared" si="85"/>
        <v>14400</v>
      </c>
      <c r="BL81" s="6">
        <f t="shared" si="94"/>
        <v>0.68586577189880482</v>
      </c>
    </row>
    <row r="82" spans="2:64" x14ac:dyDescent="0.3">
      <c r="B82">
        <v>1.4444627999999999E-3</v>
      </c>
      <c r="C82" t="s">
        <v>46</v>
      </c>
      <c r="I82" s="9">
        <f t="shared" si="89"/>
        <v>1.0404975190529493</v>
      </c>
      <c r="J82" s="6">
        <v>7.1718656764934581</v>
      </c>
      <c r="K82" s="6"/>
      <c r="L82" s="6"/>
      <c r="M82" s="7">
        <v>140</v>
      </c>
      <c r="N82" s="6">
        <f t="shared" si="72"/>
        <v>8400</v>
      </c>
      <c r="O82" s="6">
        <f t="shared" si="86"/>
        <v>1800</v>
      </c>
      <c r="P82" s="6">
        <f t="shared" si="65"/>
        <v>0.44849030993661609</v>
      </c>
      <c r="R82" s="9">
        <f t="shared" si="90"/>
        <v>0.27325344606279572</v>
      </c>
      <c r="S82" s="6">
        <v>1.4935289719491682</v>
      </c>
      <c r="T82" s="6"/>
      <c r="U82" s="6">
        <f t="shared" si="73"/>
        <v>2.3333333333333335</v>
      </c>
      <c r="V82" s="7">
        <v>140</v>
      </c>
      <c r="W82" s="6">
        <f t="shared" si="74"/>
        <v>8400</v>
      </c>
      <c r="X82" s="6">
        <f t="shared" si="87"/>
        <v>1200</v>
      </c>
      <c r="Y82" s="6">
        <f t="shared" si="66"/>
        <v>0.11778165778568782</v>
      </c>
      <c r="AA82" s="9">
        <f t="shared" si="91"/>
        <v>2.6279833045407726</v>
      </c>
      <c r="AB82" s="6">
        <v>0.41633348146643812</v>
      </c>
      <c r="AC82" s="6"/>
      <c r="AD82" s="6">
        <f t="shared" si="75"/>
        <v>47.666666666666664</v>
      </c>
      <c r="AE82" s="7">
        <v>2860</v>
      </c>
      <c r="AF82" s="6">
        <f>AE82*60</f>
        <v>171600</v>
      </c>
      <c r="AG82" s="6">
        <f>AF82-AF81</f>
        <v>85200</v>
      </c>
      <c r="AH82" s="6">
        <f>AA82/$E$76</f>
        <v>1.1327514243710228</v>
      </c>
      <c r="AK82" s="9"/>
      <c r="AL82" s="6"/>
      <c r="AM82" s="6"/>
      <c r="AN82" s="6"/>
      <c r="AO82" s="7"/>
      <c r="AP82" s="6"/>
      <c r="AQ82" s="6"/>
      <c r="AR82" s="6"/>
      <c r="AU82" s="9"/>
      <c r="AV82" s="6"/>
      <c r="AW82" s="6"/>
      <c r="AX82" s="6"/>
      <c r="AY82" s="7"/>
      <c r="AZ82" s="6"/>
      <c r="BA82" s="6"/>
      <c r="BB82" s="6"/>
      <c r="BE82" s="9">
        <f t="shared" si="92"/>
        <v>1.7517595909738752</v>
      </c>
      <c r="BF82" s="6">
        <v>0.77185012195996328</v>
      </c>
      <c r="BG82" s="6"/>
      <c r="BH82" s="6">
        <f t="shared" si="83"/>
        <v>25</v>
      </c>
      <c r="BI82" s="7">
        <v>1500</v>
      </c>
      <c r="BJ82" s="6">
        <f t="shared" si="93"/>
        <v>90000</v>
      </c>
      <c r="BK82" s="6">
        <f t="shared" si="85"/>
        <v>14400</v>
      </c>
      <c r="BL82" s="6">
        <f t="shared" si="94"/>
        <v>0.75506878921287734</v>
      </c>
    </row>
    <row r="83" spans="2:64" x14ac:dyDescent="0.3">
      <c r="I83" s="9">
        <f t="shared" si="89"/>
        <v>1.2743789553423444</v>
      </c>
      <c r="J83" s="6">
        <v>6.746320419101048</v>
      </c>
      <c r="K83" s="6"/>
      <c r="L83" s="6"/>
      <c r="M83" s="7">
        <v>180</v>
      </c>
      <c r="N83" s="6">
        <f t="shared" si="72"/>
        <v>10800</v>
      </c>
      <c r="O83" s="6">
        <f t="shared" si="86"/>
        <v>2400</v>
      </c>
      <c r="P83" s="6">
        <f t="shared" si="65"/>
        <v>0.54930127385445882</v>
      </c>
      <c r="R83" s="9">
        <f t="shared" si="90"/>
        <v>0.29638010005058507</v>
      </c>
      <c r="S83" s="6">
        <v>1.3341787231908002</v>
      </c>
      <c r="T83" s="6"/>
      <c r="U83" s="6">
        <f t="shared" si="73"/>
        <v>2.6666666666666665</v>
      </c>
      <c r="V83" s="7">
        <v>160</v>
      </c>
      <c r="W83" s="6">
        <f t="shared" si="74"/>
        <v>9600</v>
      </c>
      <c r="X83" s="6">
        <f t="shared" si="87"/>
        <v>1200</v>
      </c>
      <c r="Y83" s="6">
        <f t="shared" si="66"/>
        <v>0.12775004312525221</v>
      </c>
      <c r="AA83" s="9">
        <f t="shared" si="91"/>
        <v>2.702013853191199</v>
      </c>
      <c r="AB83" s="6">
        <v>0.44956093986522588</v>
      </c>
      <c r="AC83" s="6"/>
      <c r="AD83" s="6">
        <f t="shared" si="75"/>
        <v>50.833333333333336</v>
      </c>
      <c r="AE83" s="6">
        <v>3050</v>
      </c>
      <c r="AF83" s="6">
        <f>AE83*60</f>
        <v>183000</v>
      </c>
      <c r="AG83" s="6">
        <f>AF83-AF82</f>
        <v>11400</v>
      </c>
      <c r="AH83" s="6">
        <f>AA83/$E$76</f>
        <v>1.1646611436168961</v>
      </c>
      <c r="AK83" s="9"/>
      <c r="AL83" s="6"/>
      <c r="AM83" s="6"/>
      <c r="AN83" s="6"/>
      <c r="AO83" s="6"/>
      <c r="AP83" s="6"/>
      <c r="AQ83" s="6"/>
      <c r="AR83" s="6"/>
      <c r="AU83" s="9"/>
      <c r="AV83" s="6"/>
      <c r="AW83" s="6"/>
      <c r="AX83" s="6"/>
      <c r="AY83" s="6"/>
      <c r="AZ83" s="6"/>
      <c r="BA83" s="6"/>
      <c r="BB83" s="6"/>
      <c r="BE83" s="9">
        <f t="shared" si="92"/>
        <v>2.2390752086232952</v>
      </c>
      <c r="BF83" s="6">
        <v>0.78092447990689473</v>
      </c>
      <c r="BG83" s="6"/>
      <c r="BH83" s="6">
        <f t="shared" si="83"/>
        <v>37</v>
      </c>
      <c r="BI83" s="6">
        <v>2220</v>
      </c>
      <c r="BJ83" s="6">
        <f t="shared" si="93"/>
        <v>133200</v>
      </c>
      <c r="BK83" s="6">
        <f t="shared" si="85"/>
        <v>43200</v>
      </c>
      <c r="BL83" s="6">
        <f t="shared" si="94"/>
        <v>0.9651186244065928</v>
      </c>
    </row>
    <row r="84" spans="2:64" x14ac:dyDescent="0.3">
      <c r="B84">
        <v>4.55</v>
      </c>
      <c r="C84" t="s">
        <v>1</v>
      </c>
      <c r="I84" s="13">
        <f t="shared" si="89"/>
        <v>2.6776675730787147</v>
      </c>
      <c r="J84" s="14">
        <v>6.746320419101048</v>
      </c>
      <c r="K84" s="14"/>
      <c r="L84" s="14"/>
      <c r="M84" s="15">
        <v>420</v>
      </c>
      <c r="N84" s="15">
        <f t="shared" si="72"/>
        <v>25200</v>
      </c>
      <c r="O84" s="14">
        <f t="shared" si="86"/>
        <v>14400</v>
      </c>
      <c r="P84" s="14">
        <f t="shared" si="65"/>
        <v>1.154167057361515</v>
      </c>
      <c r="R84" s="9">
        <f t="shared" si="90"/>
        <v>0.3855437681367726</v>
      </c>
      <c r="S84" s="9">
        <v>1.1430799852081015</v>
      </c>
      <c r="T84" s="9"/>
      <c r="U84" s="6">
        <f t="shared" si="73"/>
        <v>4.166666666666667</v>
      </c>
      <c r="V84" s="16">
        <f>V83+90</f>
        <v>250</v>
      </c>
      <c r="W84" s="16">
        <f t="shared" si="74"/>
        <v>15000</v>
      </c>
      <c r="X84" s="9">
        <f t="shared" si="87"/>
        <v>5400</v>
      </c>
      <c r="Y84" s="9">
        <f t="shared" si="66"/>
        <v>0.16618265867964338</v>
      </c>
      <c r="AA84" s="9"/>
      <c r="AB84" s="9"/>
      <c r="AC84" s="9"/>
      <c r="AD84" s="9"/>
      <c r="AE84" s="16"/>
      <c r="AF84" s="16"/>
      <c r="AG84" s="9"/>
      <c r="AH84" s="9"/>
      <c r="AK84" s="9"/>
      <c r="AL84" s="9"/>
      <c r="AM84" s="9"/>
      <c r="AN84" s="9"/>
      <c r="AO84" s="16"/>
      <c r="AP84" s="16"/>
      <c r="AQ84" s="9"/>
      <c r="AR84" s="9"/>
      <c r="AU84" s="9"/>
      <c r="AV84" s="9"/>
      <c r="AW84" s="9"/>
      <c r="AX84" s="9"/>
      <c r="AY84" s="16"/>
      <c r="AZ84" s="16"/>
      <c r="BA84" s="9"/>
      <c r="BB84" s="9"/>
      <c r="BE84" s="9">
        <f t="shared" si="92"/>
        <v>2.3844817290998086</v>
      </c>
      <c r="BF84" s="9">
        <v>0.69904292371694121</v>
      </c>
      <c r="BG84" s="9"/>
      <c r="BH84" s="6">
        <f t="shared" si="83"/>
        <v>41</v>
      </c>
      <c r="BI84" s="16">
        <v>2460</v>
      </c>
      <c r="BJ84" s="6">
        <f t="shared" si="93"/>
        <v>147600</v>
      </c>
      <c r="BK84" s="6">
        <f t="shared" si="85"/>
        <v>14400</v>
      </c>
      <c r="BL84" s="6">
        <f t="shared" si="94"/>
        <v>1.0277938487499176</v>
      </c>
    </row>
    <row r="85" spans="2:64" x14ac:dyDescent="0.3">
      <c r="B85">
        <f>B84*10^-6</f>
        <v>4.5499999999999996E-6</v>
      </c>
      <c r="C85" t="s">
        <v>49</v>
      </c>
      <c r="BE85" s="9">
        <f t="shared" si="92"/>
        <v>2.4916802680174146</v>
      </c>
      <c r="BF85" s="6">
        <v>0.51535776949735668</v>
      </c>
      <c r="BG85" s="6"/>
      <c r="BH85" s="6">
        <f t="shared" si="83"/>
        <v>45</v>
      </c>
      <c r="BI85" s="6">
        <v>2700</v>
      </c>
      <c r="BJ85" s="6">
        <f t="shared" si="93"/>
        <v>162000</v>
      </c>
      <c r="BK85" s="6">
        <f t="shared" si="85"/>
        <v>14400</v>
      </c>
      <c r="BL85" s="6">
        <f t="shared" si="94"/>
        <v>1.0740001155247478</v>
      </c>
    </row>
    <row r="86" spans="2:64" x14ac:dyDescent="0.3">
      <c r="B86" s="11">
        <f>B79/B85</f>
        <v>2.2840460282197803</v>
      </c>
      <c r="C86" t="s">
        <v>6</v>
      </c>
      <c r="BE86" s="9">
        <f t="shared" si="92"/>
        <v>2.6065603462526772</v>
      </c>
      <c r="BF86" s="6">
        <v>0.55228682663773765</v>
      </c>
      <c r="BG86" s="6"/>
      <c r="BH86" s="6">
        <f t="shared" si="83"/>
        <v>49</v>
      </c>
      <c r="BI86" s="6">
        <v>2940</v>
      </c>
      <c r="BJ86" s="6">
        <f t="shared" si="93"/>
        <v>176400</v>
      </c>
      <c r="BK86" s="6">
        <f t="shared" si="85"/>
        <v>14400</v>
      </c>
      <c r="BL86" s="6">
        <f t="shared" si="94"/>
        <v>1.123517390626154</v>
      </c>
    </row>
    <row r="87" spans="2:64" x14ac:dyDescent="0.3">
      <c r="B87">
        <f>B86*60</f>
        <v>137.04276169318683</v>
      </c>
      <c r="C87" t="s">
        <v>13</v>
      </c>
      <c r="I87" t="s">
        <v>60</v>
      </c>
      <c r="J87" s="18">
        <v>42340</v>
      </c>
      <c r="BE87" s="9">
        <f t="shared" si="92"/>
        <v>2.6598425922531188</v>
      </c>
      <c r="BF87" s="6">
        <v>9.3147197136546331E-2</v>
      </c>
      <c r="BG87" s="6"/>
      <c r="BH87" s="6">
        <f t="shared" si="83"/>
        <v>60</v>
      </c>
      <c r="BI87" s="6">
        <v>3600</v>
      </c>
      <c r="BJ87" s="6">
        <f t="shared" si="93"/>
        <v>216000</v>
      </c>
      <c r="BK87" s="6">
        <f t="shared" si="85"/>
        <v>39600</v>
      </c>
      <c r="BL87" s="6">
        <f t="shared" si="94"/>
        <v>1.146483875971172</v>
      </c>
    </row>
    <row r="88" spans="2:64" x14ac:dyDescent="0.3">
      <c r="I88" s="12" t="s">
        <v>51</v>
      </c>
      <c r="J88" s="6"/>
      <c r="K88" s="6"/>
      <c r="L88" s="6"/>
      <c r="M88" s="6"/>
      <c r="N88" s="6"/>
      <c r="O88" s="6" t="s">
        <v>56</v>
      </c>
      <c r="P88" s="6"/>
      <c r="BE88" s="6"/>
      <c r="BF88" s="6"/>
      <c r="BG88" s="6"/>
      <c r="BH88" s="6"/>
      <c r="BI88" s="6"/>
      <c r="BJ88" s="6"/>
      <c r="BK88" s="6"/>
      <c r="BL88" s="6"/>
    </row>
    <row r="89" spans="2:64" x14ac:dyDescent="0.3">
      <c r="I89" s="5" t="s">
        <v>52</v>
      </c>
      <c r="J89" s="5" t="s">
        <v>54</v>
      </c>
      <c r="K89" s="6"/>
      <c r="L89" s="6"/>
      <c r="M89" s="6" t="s">
        <v>55</v>
      </c>
      <c r="N89" s="6" t="s">
        <v>13</v>
      </c>
      <c r="O89" s="7" t="s">
        <v>13</v>
      </c>
      <c r="P89" s="5" t="s">
        <v>53</v>
      </c>
    </row>
    <row r="90" spans="2:64" x14ac:dyDescent="0.3">
      <c r="I90" s="9">
        <f>J90*(10^-3)*$B$11*O90/(0.1)</f>
        <v>1.6380771942041499E-2</v>
      </c>
      <c r="J90" s="8">
        <v>18.900163772979692</v>
      </c>
      <c r="K90" s="6"/>
      <c r="L90" s="6"/>
      <c r="M90" s="6">
        <v>1</v>
      </c>
      <c r="N90" s="6">
        <f>M90*60</f>
        <v>60</v>
      </c>
      <c r="O90" s="6">
        <f>N90</f>
        <v>60</v>
      </c>
      <c r="P90" s="6">
        <f t="shared" ref="P90:P98" si="95">I90/$E$76</f>
        <v>7.060677561224785E-3</v>
      </c>
    </row>
    <row r="91" spans="2:64" x14ac:dyDescent="0.3">
      <c r="I91" s="9">
        <f t="shared" ref="I91:I98" si="96">(J91*(10^-3)*$B$11*O91/(0.1))+I90</f>
        <v>0.15398950711314324</v>
      </c>
      <c r="J91" s="6">
        <v>17.641467016794451</v>
      </c>
      <c r="K91" s="6"/>
      <c r="L91" s="6"/>
      <c r="M91" s="6">
        <v>10</v>
      </c>
      <c r="N91" s="6">
        <f t="shared" ref="N91:N98" si="97">M91*60</f>
        <v>600</v>
      </c>
      <c r="O91" s="6">
        <f t="shared" ref="O91:O98" si="98">N91-N90</f>
        <v>540</v>
      </c>
      <c r="P91" s="6">
        <f t="shared" si="95"/>
        <v>6.6374787548768646E-2</v>
      </c>
    </row>
    <row r="92" spans="2:64" x14ac:dyDescent="0.3">
      <c r="I92" s="9">
        <f t="shared" si="96"/>
        <v>0.28055539206328606</v>
      </c>
      <c r="J92" s="6">
        <v>14.603194294466688</v>
      </c>
      <c r="K92" s="6"/>
      <c r="L92" s="6"/>
      <c r="M92" s="6">
        <v>20</v>
      </c>
      <c r="N92" s="6">
        <f t="shared" si="97"/>
        <v>1200</v>
      </c>
      <c r="O92" s="6">
        <f t="shared" si="98"/>
        <v>600</v>
      </c>
      <c r="P92" s="6">
        <f t="shared" si="95"/>
        <v>0.12092904830314055</v>
      </c>
    </row>
    <row r="93" spans="2:64" x14ac:dyDescent="0.3">
      <c r="I93" s="9">
        <f t="shared" si="96"/>
        <v>0.47194234360655063</v>
      </c>
      <c r="J93" s="6">
        <v>11.041130237871501</v>
      </c>
      <c r="K93" s="6"/>
      <c r="L93" s="6"/>
      <c r="M93" s="6">
        <v>40</v>
      </c>
      <c r="N93" s="6">
        <f t="shared" si="97"/>
        <v>2400</v>
      </c>
      <c r="O93" s="6">
        <f t="shared" si="98"/>
        <v>1200</v>
      </c>
      <c r="P93" s="6">
        <f t="shared" si="95"/>
        <v>0.20342342396834082</v>
      </c>
    </row>
    <row r="94" spans="2:64" x14ac:dyDescent="0.3">
      <c r="I94" s="9">
        <f t="shared" si="96"/>
        <v>0.67518734966109328</v>
      </c>
      <c r="J94" s="6">
        <v>7.8168149707527643</v>
      </c>
      <c r="K94" s="6"/>
      <c r="L94" s="6"/>
      <c r="M94" s="7">
        <v>70</v>
      </c>
      <c r="N94" s="6">
        <f t="shared" si="97"/>
        <v>4200</v>
      </c>
      <c r="O94" s="6">
        <f t="shared" si="98"/>
        <v>1800</v>
      </c>
      <c r="P94" s="6">
        <f t="shared" si="95"/>
        <v>0.29102903002633335</v>
      </c>
    </row>
    <row r="95" spans="2:64" x14ac:dyDescent="0.3">
      <c r="I95" s="9">
        <f t="shared" si="96"/>
        <v>0.83302405055522999</v>
      </c>
      <c r="J95" s="6">
        <v>6.07040886481815</v>
      </c>
      <c r="K95" s="6"/>
      <c r="L95" s="6"/>
      <c r="M95" s="7">
        <v>100</v>
      </c>
      <c r="N95" s="6">
        <f t="shared" si="97"/>
        <v>6000</v>
      </c>
      <c r="O95" s="6">
        <f t="shared" si="98"/>
        <v>1800</v>
      </c>
      <c r="P95" s="6">
        <f t="shared" si="95"/>
        <v>0.3590620907565647</v>
      </c>
    </row>
    <row r="96" spans="2:64" x14ac:dyDescent="0.3">
      <c r="I96" s="9">
        <f t="shared" si="96"/>
        <v>0.96930706620525742</v>
      </c>
      <c r="J96" s="6">
        <v>5.2414528537374485</v>
      </c>
      <c r="K96" s="6"/>
      <c r="L96" s="6"/>
      <c r="M96" s="7">
        <v>130</v>
      </c>
      <c r="N96" s="6">
        <f t="shared" si="97"/>
        <v>7800</v>
      </c>
      <c r="O96" s="6">
        <f t="shared" si="98"/>
        <v>1800</v>
      </c>
      <c r="P96" s="6">
        <f t="shared" si="95"/>
        <v>0.41780476991605925</v>
      </c>
    </row>
    <row r="97" spans="9:16" x14ac:dyDescent="0.3">
      <c r="I97" s="9">
        <f t="shared" si="96"/>
        <v>2.9585985471572114</v>
      </c>
      <c r="J97" s="6">
        <v>2.272522817232034</v>
      </c>
      <c r="K97" s="6"/>
      <c r="L97" s="6"/>
      <c r="M97" s="7">
        <v>1140</v>
      </c>
      <c r="N97" s="6">
        <f t="shared" si="97"/>
        <v>68400</v>
      </c>
      <c r="O97" s="6">
        <f t="shared" si="98"/>
        <v>60600</v>
      </c>
      <c r="P97" s="6">
        <f t="shared" si="95"/>
        <v>1.2752579944643154</v>
      </c>
    </row>
    <row r="98" spans="9:16" x14ac:dyDescent="0.3">
      <c r="I98" s="13">
        <f t="shared" si="96"/>
        <v>6.265925747157211</v>
      </c>
      <c r="J98" s="14">
        <v>1.2</v>
      </c>
      <c r="K98" s="14"/>
      <c r="L98" s="14"/>
      <c r="M98" s="15">
        <v>4320</v>
      </c>
      <c r="N98" s="14">
        <f t="shared" si="97"/>
        <v>259200</v>
      </c>
      <c r="O98" s="14">
        <f t="shared" si="98"/>
        <v>190800</v>
      </c>
      <c r="P98" s="14">
        <f t="shared" si="95"/>
        <v>2.7008300634298323</v>
      </c>
    </row>
    <row r="99" spans="9:16" x14ac:dyDescent="0.3">
      <c r="I99" s="9"/>
      <c r="J99" s="6"/>
      <c r="K99" s="6"/>
      <c r="L99" s="6"/>
      <c r="M99" s="7"/>
      <c r="N99" s="6"/>
      <c r="O99" s="6"/>
      <c r="P99" s="6"/>
    </row>
    <row r="100" spans="9:16" x14ac:dyDescent="0.3">
      <c r="I100" s="9"/>
      <c r="J100" s="6"/>
      <c r="K100" s="6"/>
      <c r="L100" s="6"/>
      <c r="M100" s="7"/>
      <c r="N100" s="6"/>
      <c r="O100" s="6"/>
      <c r="P100" s="6"/>
    </row>
    <row r="101" spans="9:16" x14ac:dyDescent="0.3">
      <c r="I101" s="13"/>
      <c r="J101" s="14"/>
      <c r="K101" s="14"/>
      <c r="L101" s="14"/>
      <c r="M101" s="15"/>
      <c r="N101" s="15"/>
      <c r="O101" s="14"/>
      <c r="P101" s="14"/>
    </row>
    <row r="105" spans="9:16" x14ac:dyDescent="0.3">
      <c r="I105" s="12" t="s">
        <v>61</v>
      </c>
      <c r="J105" s="6"/>
      <c r="K105" s="6"/>
      <c r="L105" s="6"/>
      <c r="M105" s="6"/>
      <c r="N105" s="6"/>
      <c r="O105" s="6" t="s">
        <v>56</v>
      </c>
      <c r="P105" s="6"/>
    </row>
    <row r="106" spans="9:16" x14ac:dyDescent="0.3">
      <c r="I106" s="5" t="s">
        <v>52</v>
      </c>
      <c r="J106" s="5" t="s">
        <v>54</v>
      </c>
      <c r="K106" s="6"/>
      <c r="L106" s="6"/>
      <c r="M106" s="6" t="s">
        <v>55</v>
      </c>
      <c r="N106" s="6" t="s">
        <v>13</v>
      </c>
      <c r="O106" s="7" t="s">
        <v>13</v>
      </c>
      <c r="P106" s="5" t="s">
        <v>53</v>
      </c>
    </row>
    <row r="107" spans="9:16" x14ac:dyDescent="0.3">
      <c r="I107" s="9">
        <f>J107*(10^-3)*$B$11*O107/(0.02)</f>
        <v>3.4321320000000002E-2</v>
      </c>
      <c r="J107" s="6">
        <v>7.92</v>
      </c>
      <c r="K107" s="6"/>
      <c r="L107" s="6"/>
      <c r="M107" s="6">
        <v>1</v>
      </c>
      <c r="N107" s="6">
        <f>M107*60</f>
        <v>60</v>
      </c>
      <c r="O107" s="6">
        <f>N107</f>
        <v>60</v>
      </c>
      <c r="P107" s="6">
        <f t="shared" ref="P107:P117" si="99">I107/$E$76</f>
        <v>1.4793672413793105E-2</v>
      </c>
    </row>
    <row r="108" spans="9:16" x14ac:dyDescent="0.3">
      <c r="I108" s="9">
        <f>(J108*(10^-3)*$B$11*O108/(0.02))+I107</f>
        <v>0.3432132</v>
      </c>
      <c r="J108" s="6">
        <v>7.92</v>
      </c>
      <c r="K108" s="6"/>
      <c r="L108" s="6"/>
      <c r="M108" s="6">
        <v>10</v>
      </c>
      <c r="N108" s="6">
        <f t="shared" ref="N108:N117" si="100">M108*60</f>
        <v>600</v>
      </c>
      <c r="O108" s="6">
        <f t="shared" ref="O108:O117" si="101">N108-N107</f>
        <v>540</v>
      </c>
      <c r="P108" s="6">
        <f t="shared" si="99"/>
        <v>0.14793672413793105</v>
      </c>
    </row>
    <row r="109" spans="9:16" x14ac:dyDescent="0.3">
      <c r="I109" s="9">
        <f t="shared" ref="I109:I117" si="102">(J109*(10^-3)*$B$11*O109/(0.02))+I108</f>
        <v>0.68642639999999999</v>
      </c>
      <c r="J109" s="6">
        <v>7.92</v>
      </c>
      <c r="K109" s="6"/>
      <c r="L109" s="6"/>
      <c r="M109" s="6">
        <v>20</v>
      </c>
      <c r="N109" s="6">
        <f t="shared" si="100"/>
        <v>1200</v>
      </c>
      <c r="O109" s="6">
        <f t="shared" si="101"/>
        <v>600</v>
      </c>
      <c r="P109" s="6">
        <f t="shared" si="99"/>
        <v>0.29587344827586209</v>
      </c>
    </row>
    <row r="110" spans="9:16" x14ac:dyDescent="0.3">
      <c r="I110" s="9">
        <f t="shared" si="102"/>
        <v>0.95109836449043583</v>
      </c>
      <c r="J110" s="6">
        <v>6.1075796582539734</v>
      </c>
      <c r="K110" s="6"/>
      <c r="L110" s="6"/>
      <c r="M110" s="6">
        <v>30</v>
      </c>
      <c r="N110" s="6">
        <f t="shared" si="100"/>
        <v>1800</v>
      </c>
      <c r="O110" s="6">
        <f t="shared" si="101"/>
        <v>600</v>
      </c>
      <c r="P110" s="6">
        <f t="shared" si="99"/>
        <v>0.40995619159070512</v>
      </c>
    </row>
    <row r="111" spans="9:16" x14ac:dyDescent="0.3">
      <c r="I111" s="9">
        <f t="shared" si="102"/>
        <v>1.1235613776119158</v>
      </c>
      <c r="J111" s="6">
        <v>3.9797626196257041</v>
      </c>
      <c r="K111" s="6"/>
      <c r="L111" s="6"/>
      <c r="M111" s="7">
        <v>40</v>
      </c>
      <c r="N111" s="6">
        <f t="shared" si="100"/>
        <v>2400</v>
      </c>
      <c r="O111" s="6">
        <f t="shared" si="101"/>
        <v>600</v>
      </c>
      <c r="P111" s="6">
        <f t="shared" si="99"/>
        <v>0.48429369724651544</v>
      </c>
    </row>
    <row r="112" spans="9:16" x14ac:dyDescent="0.3">
      <c r="I112" s="9">
        <f t="shared" si="102"/>
        <v>1.2502460468558645</v>
      </c>
      <c r="J112" s="6">
        <v>2.9233799294784539</v>
      </c>
      <c r="K112" s="6"/>
      <c r="L112" s="6"/>
      <c r="M112" s="7">
        <v>50</v>
      </c>
      <c r="N112" s="6">
        <f t="shared" si="100"/>
        <v>3000</v>
      </c>
      <c r="O112" s="6">
        <f t="shared" si="101"/>
        <v>600</v>
      </c>
      <c r="P112" s="6">
        <f t="shared" si="99"/>
        <v>0.53889915812752787</v>
      </c>
    </row>
    <row r="113" spans="9:25" x14ac:dyDescent="0.3">
      <c r="I113" s="9">
        <f t="shared" si="102"/>
        <v>1.3527457088170185</v>
      </c>
      <c r="J113" s="6">
        <v>2.3652858419557874</v>
      </c>
      <c r="K113" s="6"/>
      <c r="L113" s="6"/>
      <c r="M113" s="7">
        <v>60</v>
      </c>
      <c r="N113" s="6">
        <f t="shared" si="100"/>
        <v>3600</v>
      </c>
      <c r="O113" s="6">
        <f t="shared" si="101"/>
        <v>600</v>
      </c>
      <c r="P113" s="6">
        <f t="shared" si="99"/>
        <v>0.58308004690388737</v>
      </c>
    </row>
    <row r="114" spans="9:25" x14ac:dyDescent="0.3">
      <c r="I114" s="9">
        <f t="shared" si="102"/>
        <v>1.5100086034669054</v>
      </c>
      <c r="J114" s="6">
        <v>1.8145020728035872</v>
      </c>
      <c r="K114" s="6"/>
      <c r="L114" s="6"/>
      <c r="M114" s="7">
        <v>80</v>
      </c>
      <c r="N114" s="6">
        <f t="shared" si="100"/>
        <v>4800</v>
      </c>
      <c r="O114" s="6">
        <f t="shared" si="101"/>
        <v>1200</v>
      </c>
      <c r="P114" s="6">
        <f t="shared" si="99"/>
        <v>0.65086577735642481</v>
      </c>
    </row>
    <row r="115" spans="9:25" x14ac:dyDescent="0.3">
      <c r="I115" s="9">
        <f t="shared" si="102"/>
        <v>1.6930017233899362</v>
      </c>
      <c r="J115" s="14">
        <v>1.4075852461292317</v>
      </c>
      <c r="K115" s="14"/>
      <c r="L115" s="14"/>
      <c r="M115" s="15">
        <v>110</v>
      </c>
      <c r="N115" s="6">
        <f t="shared" si="100"/>
        <v>6600</v>
      </c>
      <c r="O115" s="6">
        <f t="shared" si="101"/>
        <v>1800</v>
      </c>
      <c r="P115" s="6">
        <f t="shared" si="99"/>
        <v>0.72974212215083456</v>
      </c>
    </row>
    <row r="116" spans="9:25" x14ac:dyDescent="0.3">
      <c r="I116" s="9">
        <f t="shared" si="102"/>
        <v>1.9092331009087855</v>
      </c>
      <c r="J116" s="6">
        <v>1.1088362115244255</v>
      </c>
      <c r="K116" s="6"/>
      <c r="L116" s="6"/>
      <c r="M116" s="7">
        <v>155</v>
      </c>
      <c r="N116" s="6">
        <f t="shared" si="100"/>
        <v>9300</v>
      </c>
      <c r="O116" s="6">
        <f t="shared" si="101"/>
        <v>2700</v>
      </c>
      <c r="P116" s="6">
        <f t="shared" si="99"/>
        <v>0.82294530211585593</v>
      </c>
    </row>
    <row r="117" spans="9:25" x14ac:dyDescent="0.3">
      <c r="I117" s="9">
        <f t="shared" si="102"/>
        <v>3.4919067047951802</v>
      </c>
      <c r="J117" s="6">
        <v>0.42966861561063802</v>
      </c>
      <c r="K117" s="6"/>
      <c r="L117" s="6"/>
      <c r="M117" s="7">
        <v>1005</v>
      </c>
      <c r="N117" s="6">
        <f t="shared" si="100"/>
        <v>60300</v>
      </c>
      <c r="O117" s="6">
        <f t="shared" si="101"/>
        <v>51000</v>
      </c>
      <c r="P117" s="6">
        <f t="shared" si="99"/>
        <v>1.5051322003427501</v>
      </c>
    </row>
    <row r="118" spans="9:25" x14ac:dyDescent="0.3">
      <c r="I118" s="13"/>
      <c r="J118" s="14"/>
      <c r="K118" s="14"/>
      <c r="L118" s="14"/>
      <c r="M118" s="15"/>
      <c r="N118" s="15"/>
      <c r="O118" s="14"/>
      <c r="P118" s="14"/>
    </row>
    <row r="124" spans="9:25" x14ac:dyDescent="0.3">
      <c r="R124" t="s">
        <v>64</v>
      </c>
      <c r="S124" t="s">
        <v>65</v>
      </c>
    </row>
    <row r="125" spans="9:25" x14ac:dyDescent="0.3">
      <c r="Q125" t="s">
        <v>60</v>
      </c>
      <c r="R125" s="18">
        <v>42345</v>
      </c>
      <c r="T125" s="18">
        <v>42348</v>
      </c>
    </row>
    <row r="126" spans="9:25" x14ac:dyDescent="0.3">
      <c r="N126" t="s">
        <v>62</v>
      </c>
      <c r="Q126" s="12" t="s">
        <v>51</v>
      </c>
      <c r="R126" s="6"/>
      <c r="S126" s="6"/>
      <c r="T126" s="6"/>
      <c r="U126" s="6"/>
      <c r="V126" s="6"/>
      <c r="W126" s="6" t="s">
        <v>56</v>
      </c>
      <c r="X126" s="6"/>
    </row>
    <row r="127" spans="9:25" x14ac:dyDescent="0.3">
      <c r="N127">
        <v>3.04</v>
      </c>
      <c r="O127" s="18">
        <v>42339</v>
      </c>
      <c r="Q127" s="5" t="s">
        <v>52</v>
      </c>
      <c r="R127" s="5" t="s">
        <v>54</v>
      </c>
      <c r="S127" s="6"/>
      <c r="T127" s="6"/>
      <c r="U127" s="6" t="s">
        <v>55</v>
      </c>
      <c r="V127" s="6" t="s">
        <v>13</v>
      </c>
      <c r="W127" s="7" t="s">
        <v>13</v>
      </c>
      <c r="X127" s="5" t="s">
        <v>53</v>
      </c>
    </row>
    <row r="128" spans="9:25" x14ac:dyDescent="0.3">
      <c r="N128">
        <v>3.04</v>
      </c>
      <c r="O128" s="18">
        <v>42340</v>
      </c>
      <c r="Q128" s="9">
        <f>R128*(10^-3)*$B$11*W128/(0.1)</f>
        <v>1.3943640006324261E-2</v>
      </c>
      <c r="R128" s="8">
        <v>16.088196615119717</v>
      </c>
      <c r="S128" s="6"/>
      <c r="T128" s="6">
        <f>U128/60</f>
        <v>1.6666666666666666E-2</v>
      </c>
      <c r="U128" s="6">
        <v>1</v>
      </c>
      <c r="V128" s="6">
        <f>U128*60</f>
        <v>60</v>
      </c>
      <c r="W128" s="6">
        <f>V128</f>
        <v>60</v>
      </c>
      <c r="X128" s="6">
        <f>Q128/$E$76</f>
        <v>6.0101896578983885E-3</v>
      </c>
      <c r="Y128" t="s">
        <v>67</v>
      </c>
    </row>
    <row r="129" spans="14:25" x14ac:dyDescent="0.3">
      <c r="N129">
        <v>3.04</v>
      </c>
      <c r="O129" s="18">
        <v>42342</v>
      </c>
      <c r="Q129" s="9">
        <f>(R129*(10^-3)*$B$11*W129/(0.1))+Q128</f>
        <v>0.13101977704551432</v>
      </c>
      <c r="R129" s="6">
        <v>15.009183882567346</v>
      </c>
      <c r="S129" s="6"/>
      <c r="T129" s="6">
        <f t="shared" ref="T129:T140" si="103">U129/60</f>
        <v>0.16666666666666666</v>
      </c>
      <c r="U129" s="6">
        <v>10</v>
      </c>
      <c r="V129" s="6">
        <f t="shared" ref="V129:V140" si="104">U129*60</f>
        <v>600</v>
      </c>
      <c r="W129" s="6">
        <f t="shared" ref="W129:W134" si="105">V129-V128</f>
        <v>540</v>
      </c>
      <c r="X129" s="6">
        <f t="shared" ref="X129:X140" si="106">Q129/$E$76</f>
        <v>5.6474041829963073E-2</v>
      </c>
    </row>
    <row r="130" spans="14:25" x14ac:dyDescent="0.3">
      <c r="N130">
        <v>3.04</v>
      </c>
      <c r="O130" s="18">
        <v>42343</v>
      </c>
      <c r="Q130" s="9">
        <f>(R130*(10^-3)*$B$11*W130/(0.1))+Q129</f>
        <v>0.24481113526060472</v>
      </c>
      <c r="R130" s="6">
        <v>13.129267129928513</v>
      </c>
      <c r="S130" s="6"/>
      <c r="T130" s="6">
        <f t="shared" si="103"/>
        <v>0.33333333333333331</v>
      </c>
      <c r="U130" s="6">
        <v>20</v>
      </c>
      <c r="V130" s="6">
        <f t="shared" si="104"/>
        <v>1200</v>
      </c>
      <c r="W130" s="6">
        <f t="shared" si="105"/>
        <v>600</v>
      </c>
      <c r="X130" s="6">
        <f t="shared" si="106"/>
        <v>0.10552204106060549</v>
      </c>
    </row>
    <row r="131" spans="14:25" x14ac:dyDescent="0.3">
      <c r="N131">
        <v>2.8</v>
      </c>
      <c r="O131" s="18">
        <v>42344</v>
      </c>
      <c r="Q131" s="9">
        <f>(R131*(10^-3)*$B$11*W131/(0.1))+Q130</f>
        <v>0.42004008868941006</v>
      </c>
      <c r="R131" s="6">
        <v>10.108973891127574</v>
      </c>
      <c r="S131" s="6"/>
      <c r="T131" s="6">
        <f t="shared" si="103"/>
        <v>0.66666666666666663</v>
      </c>
      <c r="U131" s="6">
        <v>40</v>
      </c>
      <c r="V131" s="6">
        <f t="shared" si="104"/>
        <v>2400</v>
      </c>
      <c r="W131" s="6">
        <f t="shared" si="105"/>
        <v>1200</v>
      </c>
      <c r="X131" s="6">
        <f t="shared" si="106"/>
        <v>0.18105176236612505</v>
      </c>
    </row>
    <row r="132" spans="14:25" x14ac:dyDescent="0.3">
      <c r="N132">
        <v>3.01</v>
      </c>
      <c r="O132" s="18">
        <v>42345</v>
      </c>
      <c r="Q132" s="9">
        <f t="shared" ref="Q132:Q140" si="107">(R132*(10^-3)*$B$11*W132/(0.1))+Q131</f>
        <v>0.60598024000799178</v>
      </c>
      <c r="R132" s="6">
        <v>7.1512692326672695</v>
      </c>
      <c r="S132" s="6"/>
      <c r="T132" s="6">
        <f t="shared" si="103"/>
        <v>1.1666666666666667</v>
      </c>
      <c r="U132" s="7">
        <v>70</v>
      </c>
      <c r="V132" s="6">
        <f t="shared" si="104"/>
        <v>4200</v>
      </c>
      <c r="W132" s="6">
        <f t="shared" si="105"/>
        <v>1800</v>
      </c>
      <c r="X132" s="6">
        <f t="shared" si="106"/>
        <v>0.26119837931378959</v>
      </c>
    </row>
    <row r="133" spans="14:25" x14ac:dyDescent="0.3">
      <c r="Q133" s="9">
        <f t="shared" si="107"/>
        <v>0.7444945628532853</v>
      </c>
      <c r="R133" s="6">
        <v>5.3272690606243431</v>
      </c>
      <c r="S133" s="6"/>
      <c r="T133" s="6">
        <f t="shared" si="103"/>
        <v>1.6666666666666667</v>
      </c>
      <c r="U133" s="7">
        <v>100</v>
      </c>
      <c r="V133" s="6">
        <f t="shared" si="104"/>
        <v>6000</v>
      </c>
      <c r="W133" s="6">
        <f t="shared" si="105"/>
        <v>1800</v>
      </c>
      <c r="X133" s="6">
        <f t="shared" si="106"/>
        <v>0.32090282881607129</v>
      </c>
    </row>
    <row r="134" spans="14:25" x14ac:dyDescent="0.3">
      <c r="Q134" s="9">
        <f t="shared" si="107"/>
        <v>1.2167714781520069</v>
      </c>
      <c r="R134" s="6">
        <v>3.0272996891063269</v>
      </c>
      <c r="S134" s="6"/>
      <c r="T134" s="6">
        <f t="shared" si="103"/>
        <v>4.666666666666667</v>
      </c>
      <c r="U134" s="7">
        <v>280</v>
      </c>
      <c r="V134" s="6">
        <f t="shared" si="104"/>
        <v>16800</v>
      </c>
      <c r="W134" s="6">
        <f t="shared" si="105"/>
        <v>10800</v>
      </c>
      <c r="X134" s="6">
        <f t="shared" si="106"/>
        <v>0.5244704647206927</v>
      </c>
    </row>
    <row r="135" spans="14:25" x14ac:dyDescent="0.3">
      <c r="Q135" s="9">
        <f t="shared" si="107"/>
        <v>2.5176883273751121</v>
      </c>
      <c r="R135" s="6">
        <v>1.7869049668736712</v>
      </c>
      <c r="S135" s="6"/>
      <c r="T135" s="6">
        <f t="shared" si="103"/>
        <v>18.666666666666668</v>
      </c>
      <c r="U135" s="7">
        <v>1120</v>
      </c>
      <c r="V135" s="6">
        <f t="shared" si="104"/>
        <v>67200</v>
      </c>
      <c r="W135" s="6">
        <f t="shared" ref="W135:W140" si="108">V135-V134</f>
        <v>50400</v>
      </c>
      <c r="X135" s="6">
        <f t="shared" si="106"/>
        <v>1.0852104859375484</v>
      </c>
    </row>
    <row r="136" spans="14:25" x14ac:dyDescent="0.3">
      <c r="Q136" s="9">
        <f t="shared" si="107"/>
        <v>2.8336123736669947</v>
      </c>
      <c r="R136" s="6">
        <v>1.2150457532090406</v>
      </c>
      <c r="S136" s="14"/>
      <c r="T136" s="6">
        <f t="shared" si="103"/>
        <v>23.666666666666668</v>
      </c>
      <c r="U136" s="6">
        <v>1420</v>
      </c>
      <c r="V136" s="6">
        <f t="shared" si="104"/>
        <v>85200</v>
      </c>
      <c r="W136" s="6">
        <f t="shared" si="108"/>
        <v>18000</v>
      </c>
      <c r="X136" s="6">
        <f t="shared" si="106"/>
        <v>1.2213846438219806</v>
      </c>
    </row>
    <row r="137" spans="14:25" x14ac:dyDescent="0.3">
      <c r="Q137" s="9">
        <f t="shared" si="107"/>
        <v>2.9533413983645342</v>
      </c>
      <c r="R137" s="6">
        <v>1.1511963453092147</v>
      </c>
      <c r="S137" s="14"/>
      <c r="T137" s="6">
        <f t="shared" si="103"/>
        <v>25.666666666666668</v>
      </c>
      <c r="U137" s="6">
        <v>1540</v>
      </c>
      <c r="V137" s="6">
        <f t="shared" si="104"/>
        <v>92400</v>
      </c>
      <c r="W137" s="6">
        <f t="shared" si="108"/>
        <v>7200</v>
      </c>
      <c r="X137" s="6">
        <f t="shared" si="106"/>
        <v>1.2729919820536786</v>
      </c>
    </row>
    <row r="138" spans="14:25" x14ac:dyDescent="0.3">
      <c r="Q138" s="9">
        <f t="shared" si="107"/>
        <v>3.8239007706955568</v>
      </c>
      <c r="R138" s="6">
        <v>1.0977627875989922</v>
      </c>
      <c r="S138" s="6"/>
      <c r="T138" s="6">
        <f t="shared" si="103"/>
        <v>40.916666666666664</v>
      </c>
      <c r="U138" s="6">
        <v>2455</v>
      </c>
      <c r="V138" s="6">
        <f t="shared" si="104"/>
        <v>147300</v>
      </c>
      <c r="W138" s="6">
        <f t="shared" si="108"/>
        <v>54900</v>
      </c>
      <c r="X138" s="6">
        <f t="shared" si="106"/>
        <v>1.6482330908170504</v>
      </c>
      <c r="Y138" s="19" t="s">
        <v>63</v>
      </c>
    </row>
    <row r="139" spans="14:25" x14ac:dyDescent="0.3">
      <c r="Q139" s="9">
        <f t="shared" si="107"/>
        <v>4.1872451152858341</v>
      </c>
      <c r="R139" s="20">
        <v>0.82201441254584584</v>
      </c>
      <c r="S139" s="14"/>
      <c r="T139" s="6">
        <f t="shared" si="103"/>
        <v>49.416666666666664</v>
      </c>
      <c r="U139" s="6">
        <v>2965</v>
      </c>
      <c r="V139" s="6">
        <f t="shared" si="104"/>
        <v>177900</v>
      </c>
      <c r="W139" s="6">
        <f t="shared" si="108"/>
        <v>30600</v>
      </c>
      <c r="X139" s="6">
        <f t="shared" si="106"/>
        <v>1.8048470324507906</v>
      </c>
    </row>
    <row r="140" spans="14:25" x14ac:dyDescent="0.3">
      <c r="Q140" s="9">
        <f t="shared" si="107"/>
        <v>4.4303544652858342</v>
      </c>
      <c r="R140" s="22">
        <v>0.3</v>
      </c>
      <c r="T140" s="6">
        <f t="shared" si="103"/>
        <v>65</v>
      </c>
      <c r="U140" s="21">
        <v>3900</v>
      </c>
      <c r="V140" s="21">
        <f t="shared" si="104"/>
        <v>234000</v>
      </c>
      <c r="W140" s="6">
        <f t="shared" si="108"/>
        <v>56100</v>
      </c>
      <c r="X140" s="6">
        <f t="shared" si="106"/>
        <v>1.9096355453818252</v>
      </c>
      <c r="Y140" t="s">
        <v>66</v>
      </c>
    </row>
    <row r="141" spans="14:25" x14ac:dyDescent="0.3">
      <c r="R141" t="s">
        <v>68</v>
      </c>
    </row>
    <row r="151" spans="25:27" x14ac:dyDescent="0.3">
      <c r="Z151" t="s">
        <v>72</v>
      </c>
    </row>
    <row r="152" spans="25:27" x14ac:dyDescent="0.3">
      <c r="Z152" t="s">
        <v>73</v>
      </c>
      <c r="AA152" t="s">
        <v>74</v>
      </c>
    </row>
    <row r="153" spans="25:27" x14ac:dyDescent="0.3">
      <c r="Y153">
        <f>Z153/60</f>
        <v>0</v>
      </c>
      <c r="Z153">
        <v>0</v>
      </c>
      <c r="AA153">
        <v>1</v>
      </c>
    </row>
    <row r="154" spans="25:27" x14ac:dyDescent="0.3">
      <c r="Y154">
        <f t="shared" ref="Y154:Y193" si="109">Z154/60</f>
        <v>1.6666666666666667</v>
      </c>
      <c r="Z154">
        <v>100</v>
      </c>
      <c r="AA154">
        <v>1</v>
      </c>
    </row>
    <row r="155" spans="25:27" x14ac:dyDescent="0.3">
      <c r="Y155">
        <f t="shared" si="109"/>
        <v>3.3333333333333335</v>
      </c>
      <c r="Z155">
        <f>Z154+100</f>
        <v>200</v>
      </c>
      <c r="AA155">
        <v>1</v>
      </c>
    </row>
    <row r="156" spans="25:27" x14ac:dyDescent="0.3">
      <c r="Y156">
        <f t="shared" si="109"/>
        <v>5</v>
      </c>
      <c r="Z156">
        <f t="shared" ref="Z156:Z188" si="110">Z155+100</f>
        <v>300</v>
      </c>
      <c r="AA156">
        <v>1</v>
      </c>
    </row>
    <row r="157" spans="25:27" x14ac:dyDescent="0.3">
      <c r="Y157">
        <f t="shared" si="109"/>
        <v>6.666666666666667</v>
      </c>
      <c r="Z157">
        <f t="shared" si="110"/>
        <v>400</v>
      </c>
      <c r="AA157">
        <v>1</v>
      </c>
    </row>
    <row r="158" spans="25:27" x14ac:dyDescent="0.3">
      <c r="Y158">
        <f t="shared" si="109"/>
        <v>8.3333333333333339</v>
      </c>
      <c r="Z158">
        <f t="shared" si="110"/>
        <v>500</v>
      </c>
      <c r="AA158">
        <v>1</v>
      </c>
    </row>
    <row r="159" spans="25:27" x14ac:dyDescent="0.3">
      <c r="Y159">
        <f t="shared" si="109"/>
        <v>10</v>
      </c>
      <c r="Z159">
        <f t="shared" si="110"/>
        <v>600</v>
      </c>
      <c r="AA159">
        <v>1</v>
      </c>
    </row>
    <row r="160" spans="25:27" x14ac:dyDescent="0.3">
      <c r="Y160">
        <f t="shared" si="109"/>
        <v>11.666666666666666</v>
      </c>
      <c r="Z160">
        <f t="shared" si="110"/>
        <v>700</v>
      </c>
      <c r="AA160">
        <v>1</v>
      </c>
    </row>
    <row r="161" spans="25:27" x14ac:dyDescent="0.3">
      <c r="Y161">
        <f t="shared" si="109"/>
        <v>13.333333333333334</v>
      </c>
      <c r="Z161">
        <f t="shared" si="110"/>
        <v>800</v>
      </c>
      <c r="AA161">
        <v>1</v>
      </c>
    </row>
    <row r="162" spans="25:27" x14ac:dyDescent="0.3">
      <c r="Y162">
        <f t="shared" si="109"/>
        <v>15</v>
      </c>
      <c r="Z162">
        <f t="shared" si="110"/>
        <v>900</v>
      </c>
      <c r="AA162">
        <v>1</v>
      </c>
    </row>
    <row r="163" spans="25:27" x14ac:dyDescent="0.3">
      <c r="Y163">
        <f t="shared" si="109"/>
        <v>16.666666666666668</v>
      </c>
      <c r="Z163">
        <f t="shared" si="110"/>
        <v>1000</v>
      </c>
      <c r="AA163">
        <v>1</v>
      </c>
    </row>
    <row r="164" spans="25:27" x14ac:dyDescent="0.3">
      <c r="Y164">
        <f t="shared" si="109"/>
        <v>18.333333333333332</v>
      </c>
      <c r="Z164">
        <f t="shared" si="110"/>
        <v>1100</v>
      </c>
      <c r="AA164">
        <v>1</v>
      </c>
    </row>
    <row r="165" spans="25:27" x14ac:dyDescent="0.3">
      <c r="Y165">
        <f t="shared" si="109"/>
        <v>20</v>
      </c>
      <c r="Z165">
        <f t="shared" si="110"/>
        <v>1200</v>
      </c>
      <c r="AA165">
        <v>1</v>
      </c>
    </row>
    <row r="166" spans="25:27" x14ac:dyDescent="0.3">
      <c r="Y166">
        <f t="shared" si="109"/>
        <v>21.666666666666668</v>
      </c>
      <c r="Z166">
        <f t="shared" si="110"/>
        <v>1300</v>
      </c>
      <c r="AA166">
        <v>1</v>
      </c>
    </row>
    <row r="167" spans="25:27" x14ac:dyDescent="0.3">
      <c r="Y167">
        <f t="shared" si="109"/>
        <v>23.333333333333332</v>
      </c>
      <c r="Z167">
        <f t="shared" si="110"/>
        <v>1400</v>
      </c>
      <c r="AA167">
        <v>1</v>
      </c>
    </row>
    <row r="168" spans="25:27" x14ac:dyDescent="0.3">
      <c r="Y168">
        <f t="shared" si="109"/>
        <v>25</v>
      </c>
      <c r="Z168">
        <f t="shared" si="110"/>
        <v>1500</v>
      </c>
      <c r="AA168">
        <v>1</v>
      </c>
    </row>
    <row r="169" spans="25:27" x14ac:dyDescent="0.3">
      <c r="Y169">
        <f t="shared" si="109"/>
        <v>26.666666666666668</v>
      </c>
      <c r="Z169">
        <f t="shared" si="110"/>
        <v>1600</v>
      </c>
      <c r="AA169">
        <v>1</v>
      </c>
    </row>
    <row r="170" spans="25:27" x14ac:dyDescent="0.3">
      <c r="Y170">
        <f t="shared" si="109"/>
        <v>28.333333333333332</v>
      </c>
      <c r="Z170">
        <f t="shared" si="110"/>
        <v>1700</v>
      </c>
      <c r="AA170">
        <v>1</v>
      </c>
    </row>
    <row r="171" spans="25:27" x14ac:dyDescent="0.3">
      <c r="Y171">
        <f t="shared" si="109"/>
        <v>30</v>
      </c>
      <c r="Z171">
        <f t="shared" si="110"/>
        <v>1800</v>
      </c>
      <c r="AA171">
        <v>1</v>
      </c>
    </row>
    <row r="172" spans="25:27" x14ac:dyDescent="0.3">
      <c r="Y172">
        <f t="shared" si="109"/>
        <v>31.666666666666668</v>
      </c>
      <c r="Z172">
        <f t="shared" si="110"/>
        <v>1900</v>
      </c>
      <c r="AA172">
        <v>1</v>
      </c>
    </row>
    <row r="173" spans="25:27" x14ac:dyDescent="0.3">
      <c r="Y173">
        <f t="shared" si="109"/>
        <v>33.333333333333336</v>
      </c>
      <c r="Z173">
        <f t="shared" si="110"/>
        <v>2000</v>
      </c>
      <c r="AA173">
        <v>1</v>
      </c>
    </row>
    <row r="174" spans="25:27" x14ac:dyDescent="0.3">
      <c r="Y174">
        <f t="shared" si="109"/>
        <v>35</v>
      </c>
      <c r="Z174">
        <f t="shared" si="110"/>
        <v>2100</v>
      </c>
      <c r="AA174">
        <v>1</v>
      </c>
    </row>
    <row r="175" spans="25:27" x14ac:dyDescent="0.3">
      <c r="Y175">
        <f t="shared" si="109"/>
        <v>36.666666666666664</v>
      </c>
      <c r="Z175">
        <f t="shared" si="110"/>
        <v>2200</v>
      </c>
      <c r="AA175">
        <v>1</v>
      </c>
    </row>
    <row r="176" spans="25:27" x14ac:dyDescent="0.3">
      <c r="Y176">
        <f t="shared" si="109"/>
        <v>38.333333333333336</v>
      </c>
      <c r="Z176">
        <f t="shared" si="110"/>
        <v>2300</v>
      </c>
      <c r="AA176">
        <v>1</v>
      </c>
    </row>
    <row r="177" spans="25:27" x14ac:dyDescent="0.3">
      <c r="Y177">
        <f t="shared" si="109"/>
        <v>40</v>
      </c>
      <c r="Z177">
        <f t="shared" si="110"/>
        <v>2400</v>
      </c>
      <c r="AA177">
        <v>1</v>
      </c>
    </row>
    <row r="178" spans="25:27" x14ac:dyDescent="0.3">
      <c r="Y178">
        <f t="shared" si="109"/>
        <v>41.666666666666664</v>
      </c>
      <c r="Z178">
        <f t="shared" si="110"/>
        <v>2500</v>
      </c>
      <c r="AA178">
        <v>1</v>
      </c>
    </row>
    <row r="179" spans="25:27" x14ac:dyDescent="0.3">
      <c r="Y179">
        <f t="shared" si="109"/>
        <v>43.333333333333336</v>
      </c>
      <c r="Z179">
        <f t="shared" si="110"/>
        <v>2600</v>
      </c>
      <c r="AA179">
        <v>1</v>
      </c>
    </row>
    <row r="180" spans="25:27" x14ac:dyDescent="0.3">
      <c r="Y180">
        <f t="shared" si="109"/>
        <v>45</v>
      </c>
      <c r="Z180">
        <f t="shared" si="110"/>
        <v>2700</v>
      </c>
      <c r="AA180">
        <v>1</v>
      </c>
    </row>
    <row r="181" spans="25:27" x14ac:dyDescent="0.3">
      <c r="Y181">
        <f t="shared" si="109"/>
        <v>46.666666666666664</v>
      </c>
      <c r="Z181">
        <f t="shared" si="110"/>
        <v>2800</v>
      </c>
      <c r="AA181">
        <v>1</v>
      </c>
    </row>
    <row r="182" spans="25:27" x14ac:dyDescent="0.3">
      <c r="Y182">
        <f t="shared" si="109"/>
        <v>48.333333333333336</v>
      </c>
      <c r="Z182">
        <f t="shared" si="110"/>
        <v>2900</v>
      </c>
      <c r="AA182">
        <v>1</v>
      </c>
    </row>
    <row r="183" spans="25:27" x14ac:dyDescent="0.3">
      <c r="Y183">
        <f t="shared" si="109"/>
        <v>50</v>
      </c>
      <c r="Z183">
        <f t="shared" si="110"/>
        <v>3000</v>
      </c>
      <c r="AA183">
        <v>1</v>
      </c>
    </row>
    <row r="184" spans="25:27" x14ac:dyDescent="0.3">
      <c r="Y184">
        <f t="shared" si="109"/>
        <v>51.666666666666664</v>
      </c>
      <c r="Z184">
        <f t="shared" si="110"/>
        <v>3100</v>
      </c>
      <c r="AA184">
        <v>1</v>
      </c>
    </row>
    <row r="185" spans="25:27" x14ac:dyDescent="0.3">
      <c r="Y185">
        <f t="shared" si="109"/>
        <v>53.333333333333336</v>
      </c>
      <c r="Z185">
        <f t="shared" si="110"/>
        <v>3200</v>
      </c>
      <c r="AA185">
        <v>1</v>
      </c>
    </row>
    <row r="186" spans="25:27" x14ac:dyDescent="0.3">
      <c r="Y186">
        <f t="shared" si="109"/>
        <v>55</v>
      </c>
      <c r="Z186">
        <f>Z185+100</f>
        <v>3300</v>
      </c>
      <c r="AA186">
        <v>1</v>
      </c>
    </row>
    <row r="187" spans="25:27" x14ac:dyDescent="0.3">
      <c r="Y187">
        <f t="shared" si="109"/>
        <v>56.666666666666664</v>
      </c>
      <c r="Z187">
        <f t="shared" si="110"/>
        <v>3400</v>
      </c>
      <c r="AA187">
        <v>1</v>
      </c>
    </row>
    <row r="188" spans="25:27" x14ac:dyDescent="0.3">
      <c r="Y188">
        <f t="shared" si="109"/>
        <v>58.333333333333336</v>
      </c>
      <c r="Z188">
        <f t="shared" si="110"/>
        <v>3500</v>
      </c>
      <c r="AA188">
        <v>1</v>
      </c>
    </row>
    <row r="189" spans="25:27" x14ac:dyDescent="0.3">
      <c r="Y189">
        <f t="shared" si="109"/>
        <v>60</v>
      </c>
      <c r="Z189">
        <f>Z188+100</f>
        <v>3600</v>
      </c>
      <c r="AA189">
        <v>1</v>
      </c>
    </row>
    <row r="190" spans="25:27" x14ac:dyDescent="0.3">
      <c r="Y190">
        <f t="shared" si="109"/>
        <v>61.666666666666664</v>
      </c>
      <c r="Z190">
        <f>Z189+100</f>
        <v>3700</v>
      </c>
      <c r="AA190">
        <v>1</v>
      </c>
    </row>
    <row r="191" spans="25:27" x14ac:dyDescent="0.3">
      <c r="Y191">
        <f t="shared" si="109"/>
        <v>63.333333333333336</v>
      </c>
      <c r="Z191">
        <f>Z190+100</f>
        <v>3800</v>
      </c>
      <c r="AA191">
        <v>1</v>
      </c>
    </row>
    <row r="192" spans="25:27" x14ac:dyDescent="0.3">
      <c r="Y192">
        <f t="shared" si="109"/>
        <v>65</v>
      </c>
      <c r="Z192">
        <f>Z191+100</f>
        <v>3900</v>
      </c>
      <c r="AA192">
        <v>1</v>
      </c>
    </row>
    <row r="193" spans="14:27" x14ac:dyDescent="0.3">
      <c r="Y193">
        <f t="shared" si="109"/>
        <v>66.666666666666671</v>
      </c>
      <c r="Z193">
        <f>Z192+100</f>
        <v>4000</v>
      </c>
      <c r="AA193">
        <v>1</v>
      </c>
    </row>
    <row r="197" spans="14:27" x14ac:dyDescent="0.3">
      <c r="N197" t="s">
        <v>78</v>
      </c>
    </row>
    <row r="291" spans="1:28" x14ac:dyDescent="0.3">
      <c r="C291" t="s">
        <v>86</v>
      </c>
      <c r="M291" t="s">
        <v>86</v>
      </c>
    </row>
    <row r="292" spans="1:28" x14ac:dyDescent="0.3">
      <c r="A292" t="s">
        <v>2</v>
      </c>
      <c r="C292" t="s">
        <v>27</v>
      </c>
      <c r="L292" t="s">
        <v>2</v>
      </c>
      <c r="M292" t="s">
        <v>27</v>
      </c>
    </row>
    <row r="293" spans="1:28" x14ac:dyDescent="0.3">
      <c r="A293" t="s">
        <v>6</v>
      </c>
      <c r="B293" t="s">
        <v>85</v>
      </c>
      <c r="C293" s="1" t="s">
        <v>87</v>
      </c>
      <c r="D293" s="1" t="s">
        <v>88</v>
      </c>
      <c r="E293" s="1">
        <v>3</v>
      </c>
      <c r="F293" s="1" t="s">
        <v>89</v>
      </c>
      <c r="L293" t="s">
        <v>6</v>
      </c>
      <c r="M293" s="1">
        <v>6.0000000000000001E-3</v>
      </c>
      <c r="N293" s="1">
        <v>0.06</v>
      </c>
      <c r="O293" s="1">
        <v>0.6</v>
      </c>
    </row>
    <row r="294" spans="1:28" x14ac:dyDescent="0.3">
      <c r="A294">
        <v>1</v>
      </c>
      <c r="B294" s="11">
        <f>A294/60</f>
        <v>1.6666666666666666E-2</v>
      </c>
      <c r="C294">
        <f>DJ52</f>
        <v>1</v>
      </c>
      <c r="D294">
        <f>CN48</f>
        <v>1</v>
      </c>
      <c r="E294">
        <f>AV48</f>
        <v>1</v>
      </c>
      <c r="F294">
        <f>CF48</f>
        <v>1</v>
      </c>
      <c r="L294">
        <v>1</v>
      </c>
      <c r="M294">
        <f>G18</f>
        <v>1</v>
      </c>
      <c r="N294">
        <f>Q18</f>
        <v>1</v>
      </c>
      <c r="O294">
        <f>P36</f>
        <v>1</v>
      </c>
    </row>
    <row r="295" spans="1:28" x14ac:dyDescent="0.3">
      <c r="A295">
        <v>10</v>
      </c>
      <c r="B295" s="11">
        <f t="shared" ref="B295:B303" si="111">A295/60</f>
        <v>0.16666666666666666</v>
      </c>
      <c r="C295">
        <f t="shared" ref="C295:C303" si="112">DJ53</f>
        <v>0.94640519911850829</v>
      </c>
      <c r="D295">
        <f t="shared" ref="D295:D302" si="113">CN49</f>
        <v>0.93254063412619836</v>
      </c>
      <c r="E295">
        <f t="shared" ref="E295:E300" si="114">AV49</f>
        <v>0.9334028651124856</v>
      </c>
      <c r="F295">
        <f t="shared" ref="F295:F302" si="115">CF49</f>
        <v>0.93293140565311627</v>
      </c>
      <c r="L295">
        <v>10</v>
      </c>
      <c r="M295">
        <f>G19</f>
        <v>0.31407282527103636</v>
      </c>
      <c r="N295">
        <f>Q19</f>
        <v>0.69202834799609036</v>
      </c>
      <c r="O295">
        <f t="shared" ref="O295:O305" si="116">P37</f>
        <v>0.98116786372253129</v>
      </c>
    </row>
    <row r="296" spans="1:28" x14ac:dyDescent="0.3">
      <c r="A296">
        <v>20</v>
      </c>
      <c r="B296" s="11">
        <f t="shared" si="111"/>
        <v>0.33333333333333331</v>
      </c>
      <c r="C296">
        <f t="shared" si="112"/>
        <v>0.85218966632524729</v>
      </c>
      <c r="D296">
        <f t="shared" si="113"/>
        <v>0.83460244803390871</v>
      </c>
      <c r="E296">
        <f t="shared" si="114"/>
        <v>0.77264908758853745</v>
      </c>
      <c r="F296">
        <f t="shared" si="115"/>
        <v>0.81608072327942605</v>
      </c>
      <c r="L296">
        <v>20</v>
      </c>
      <c r="M296">
        <f>G20</f>
        <v>0.22269578787000288</v>
      </c>
      <c r="N296">
        <f>Q20</f>
        <v>0.45069721606307506</v>
      </c>
      <c r="O296">
        <f t="shared" si="116"/>
        <v>0.85516448314099114</v>
      </c>
    </row>
    <row r="297" spans="1:28" x14ac:dyDescent="0.3">
      <c r="A297">
        <v>40</v>
      </c>
      <c r="B297" s="11">
        <f t="shared" si="111"/>
        <v>0.66666666666666663</v>
      </c>
      <c r="C297">
        <f t="shared" si="112"/>
        <v>0.67352184672925874</v>
      </c>
      <c r="D297">
        <f t="shared" si="113"/>
        <v>0.68478923092919053</v>
      </c>
      <c r="E297">
        <f t="shared" si="114"/>
        <v>0.58418172299947324</v>
      </c>
      <c r="F297">
        <f t="shared" si="115"/>
        <v>0.62834723698162298</v>
      </c>
      <c r="L297">
        <v>30</v>
      </c>
      <c r="N297">
        <f>Q21</f>
        <v>0.35306243511790364</v>
      </c>
      <c r="O297">
        <f t="shared" si="116"/>
        <v>0.77034128236058264</v>
      </c>
    </row>
    <row r="298" spans="1:28" x14ac:dyDescent="0.3">
      <c r="A298">
        <v>70</v>
      </c>
      <c r="B298" s="11">
        <f t="shared" si="111"/>
        <v>1.1666666666666667</v>
      </c>
      <c r="C298">
        <f t="shared" si="112"/>
        <v>0.59709485194038692</v>
      </c>
      <c r="D298">
        <f t="shared" si="113"/>
        <v>0.49636162841711901</v>
      </c>
      <c r="E298">
        <f t="shared" si="114"/>
        <v>0.4135845098828162</v>
      </c>
      <c r="F298">
        <f t="shared" si="115"/>
        <v>0.44450409227013632</v>
      </c>
      <c r="L298">
        <v>40</v>
      </c>
      <c r="O298">
        <f t="shared" si="116"/>
        <v>0.6718585677488158</v>
      </c>
    </row>
    <row r="299" spans="1:28" x14ac:dyDescent="0.3">
      <c r="A299">
        <v>100</v>
      </c>
      <c r="B299" s="11">
        <f t="shared" si="111"/>
        <v>1.6666666666666667</v>
      </c>
      <c r="C299">
        <f t="shared" si="112"/>
        <v>0.46353722670820963</v>
      </c>
      <c r="D299">
        <f t="shared" si="113"/>
        <v>0.38381943201860852</v>
      </c>
      <c r="E299">
        <f t="shared" si="114"/>
        <v>0.32118287109747751</v>
      </c>
      <c r="F299">
        <f t="shared" si="115"/>
        <v>0.33112903752169248</v>
      </c>
      <c r="L299">
        <v>60</v>
      </c>
      <c r="O299">
        <f t="shared" si="116"/>
        <v>0.56981376518218585</v>
      </c>
      <c r="X299" t="s">
        <v>86</v>
      </c>
    </row>
    <row r="300" spans="1:28" x14ac:dyDescent="0.3">
      <c r="A300">
        <v>1150</v>
      </c>
      <c r="B300" s="11">
        <f t="shared" si="111"/>
        <v>19.166666666666668</v>
      </c>
      <c r="C300">
        <f t="shared" si="112"/>
        <v>8.933190547981347E-2</v>
      </c>
      <c r="D300">
        <f t="shared" si="113"/>
        <v>0.13361791658716249</v>
      </c>
      <c r="E300">
        <f t="shared" si="114"/>
        <v>0.1202382606060223</v>
      </c>
      <c r="F300">
        <f t="shared" si="115"/>
        <v>0.11106931433162213</v>
      </c>
      <c r="L300">
        <v>80</v>
      </c>
      <c r="O300">
        <f t="shared" si="116"/>
        <v>0.48960552268244517</v>
      </c>
      <c r="W300" t="s">
        <v>2</v>
      </c>
      <c r="X300" t="s">
        <v>27</v>
      </c>
    </row>
    <row r="301" spans="1:28" x14ac:dyDescent="0.3">
      <c r="A301">
        <v>1500</v>
      </c>
      <c r="B301" s="11">
        <f t="shared" si="111"/>
        <v>25</v>
      </c>
      <c r="C301">
        <f t="shared" si="112"/>
        <v>7.8321576126456918E-2</v>
      </c>
      <c r="D301">
        <f t="shared" si="113"/>
        <v>0.12008838912710734</v>
      </c>
      <c r="F301">
        <f t="shared" si="115"/>
        <v>7.1555337919435802E-2</v>
      </c>
      <c r="L301">
        <v>100</v>
      </c>
      <c r="O301">
        <f t="shared" si="116"/>
        <v>0.43549310804802061</v>
      </c>
      <c r="V301" t="s">
        <v>6</v>
      </c>
      <c r="W301" t="s">
        <v>85</v>
      </c>
      <c r="X301" s="1">
        <v>6.0000000000000001E-3</v>
      </c>
      <c r="Y301" s="1">
        <v>0.06</v>
      </c>
      <c r="Z301" s="1">
        <v>0.6</v>
      </c>
      <c r="AA301" s="1">
        <v>2.2999999999999998</v>
      </c>
      <c r="AB301" s="1">
        <v>3</v>
      </c>
    </row>
    <row r="302" spans="1:28" x14ac:dyDescent="0.3">
      <c r="A302">
        <v>3000</v>
      </c>
      <c r="B302" s="11">
        <f t="shared" si="111"/>
        <v>50</v>
      </c>
      <c r="C302">
        <f t="shared" si="112"/>
        <v>5.6041935481342862E-2</v>
      </c>
      <c r="D302">
        <f t="shared" si="113"/>
        <v>4.4866778504279267E-2</v>
      </c>
      <c r="F302">
        <f t="shared" si="115"/>
        <v>5.1094254515345439E-2</v>
      </c>
      <c r="L302">
        <v>120</v>
      </c>
      <c r="O302">
        <f t="shared" si="116"/>
        <v>0.39924568836903945</v>
      </c>
      <c r="V302">
        <v>1</v>
      </c>
      <c r="W302" s="28">
        <f>V302/60</f>
        <v>1.6666666666666666E-2</v>
      </c>
      <c r="X302">
        <v>1</v>
      </c>
      <c r="Y302">
        <v>1</v>
      </c>
      <c r="Z302">
        <v>1</v>
      </c>
      <c r="AA302">
        <v>1</v>
      </c>
      <c r="AB302">
        <v>1</v>
      </c>
    </row>
    <row r="303" spans="1:28" x14ac:dyDescent="0.3">
      <c r="A303">
        <v>3600</v>
      </c>
      <c r="B303" s="11">
        <f t="shared" si="111"/>
        <v>60</v>
      </c>
      <c r="C303">
        <f t="shared" si="112"/>
        <v>9.4518807264948844E-3</v>
      </c>
      <c r="L303">
        <v>140</v>
      </c>
      <c r="O303">
        <f t="shared" si="116"/>
        <v>0.36990173139915633</v>
      </c>
      <c r="V303">
        <v>10</v>
      </c>
      <c r="W303" s="28">
        <f t="shared" ref="W303:W309" si="117">V303/60</f>
        <v>0.16666666666666666</v>
      </c>
      <c r="X303">
        <v>0.31407282527103636</v>
      </c>
      <c r="Y303">
        <v>0.69202834799609036</v>
      </c>
      <c r="Z303">
        <v>0.98116786372253129</v>
      </c>
      <c r="AA303">
        <v>0.94640519911850829</v>
      </c>
      <c r="AB303">
        <v>0.93293140565311627</v>
      </c>
    </row>
    <row r="304" spans="1:28" x14ac:dyDescent="0.3">
      <c r="L304">
        <v>160</v>
      </c>
      <c r="O304">
        <f t="shared" si="116"/>
        <v>0.33043551814071498</v>
      </c>
      <c r="V304">
        <v>20</v>
      </c>
      <c r="W304" s="28">
        <f t="shared" si="117"/>
        <v>0.33333333333333331</v>
      </c>
      <c r="X304">
        <v>0.22269578787000288</v>
      </c>
      <c r="Y304">
        <v>0.45069721606307506</v>
      </c>
      <c r="Z304">
        <v>0.85516448314099114</v>
      </c>
      <c r="AA304">
        <v>0.85218966632524729</v>
      </c>
      <c r="AB304">
        <v>0.81608072327942605</v>
      </c>
    </row>
    <row r="305" spans="1:38" x14ac:dyDescent="0.3">
      <c r="L305">
        <v>250</v>
      </c>
      <c r="O305">
        <f t="shared" si="116"/>
        <v>0.28310616907844594</v>
      </c>
      <c r="V305">
        <v>40</v>
      </c>
      <c r="W305" s="28">
        <f t="shared" si="117"/>
        <v>0.66666666666666663</v>
      </c>
      <c r="Y305">
        <v>0.35306243511790364</v>
      </c>
      <c r="Z305">
        <v>0.77034128236058264</v>
      </c>
      <c r="AA305">
        <v>0.67352184672925874</v>
      </c>
      <c r="AB305">
        <v>0.62834723698162298</v>
      </c>
    </row>
    <row r="306" spans="1:38" x14ac:dyDescent="0.3">
      <c r="V306">
        <v>70</v>
      </c>
      <c r="W306" s="28">
        <f t="shared" si="117"/>
        <v>1.1666666666666667</v>
      </c>
      <c r="Z306">
        <v>0.56981376518218585</v>
      </c>
      <c r="AA306">
        <v>0.59709485194038692</v>
      </c>
      <c r="AB306">
        <v>0.44450409227013632</v>
      </c>
    </row>
    <row r="307" spans="1:38" x14ac:dyDescent="0.3">
      <c r="B307" t="s">
        <v>93</v>
      </c>
      <c r="V307">
        <v>100</v>
      </c>
      <c r="W307" s="28">
        <f t="shared" si="117"/>
        <v>1.6666666666666667</v>
      </c>
      <c r="Z307">
        <v>0.43549310804802061</v>
      </c>
      <c r="AA307">
        <v>0.46353722670820963</v>
      </c>
      <c r="AB307">
        <v>0.33112903752169248</v>
      </c>
    </row>
    <row r="308" spans="1:38" x14ac:dyDescent="0.3">
      <c r="B308" s="1" t="s">
        <v>94</v>
      </c>
      <c r="V308">
        <v>120</v>
      </c>
      <c r="W308" s="28">
        <f t="shared" si="117"/>
        <v>2</v>
      </c>
      <c r="Z308">
        <v>0.39924568836903945</v>
      </c>
      <c r="AA308">
        <v>0.4</v>
      </c>
      <c r="AB308">
        <v>0.32</v>
      </c>
    </row>
    <row r="309" spans="1:38" x14ac:dyDescent="0.3">
      <c r="A309" s="1" t="s">
        <v>92</v>
      </c>
      <c r="B309" s="1">
        <v>1</v>
      </c>
      <c r="C309" s="1">
        <v>10</v>
      </c>
      <c r="D309" s="1">
        <v>20</v>
      </c>
      <c r="E309" s="1">
        <v>30</v>
      </c>
      <c r="F309" s="1">
        <v>40</v>
      </c>
      <c r="G309" s="1">
        <v>60</v>
      </c>
      <c r="H309" s="1">
        <v>80</v>
      </c>
      <c r="I309" s="1">
        <v>100</v>
      </c>
      <c r="J309" s="1">
        <v>120</v>
      </c>
      <c r="K309" s="1">
        <v>140</v>
      </c>
      <c r="L309" s="1">
        <v>160</v>
      </c>
      <c r="M309" s="1">
        <v>250</v>
      </c>
      <c r="V309">
        <v>240</v>
      </c>
      <c r="W309" s="28">
        <f t="shared" si="117"/>
        <v>4</v>
      </c>
      <c r="Z309">
        <v>0.28310616907844594</v>
      </c>
      <c r="AA309">
        <v>0.3</v>
      </c>
      <c r="AB309">
        <v>0.2</v>
      </c>
    </row>
    <row r="310" spans="1:38" x14ac:dyDescent="0.3">
      <c r="A310" s="1">
        <v>6.0000000000000001E-3</v>
      </c>
      <c r="B310" s="28">
        <v>5.5007740749777841E-4</v>
      </c>
      <c r="C310" s="28">
        <v>2.1049566969131282E-3</v>
      </c>
      <c r="D310" s="28">
        <v>3.329955913435192E-3</v>
      </c>
      <c r="E310" s="28"/>
      <c r="F310" s="28"/>
      <c r="G310" s="28"/>
      <c r="H310" s="28"/>
      <c r="I310" s="28"/>
      <c r="J310" s="28"/>
      <c r="K310" s="28"/>
      <c r="L310" s="28"/>
      <c r="M310" s="28"/>
      <c r="V310">
        <v>1150</v>
      </c>
      <c r="W310" s="28">
        <f>V310/60</f>
        <v>19.166666666666668</v>
      </c>
      <c r="AA310">
        <v>8.933190547981347E-2</v>
      </c>
      <c r="AB310">
        <v>0.11106931433162213</v>
      </c>
    </row>
    <row r="311" spans="1:38" x14ac:dyDescent="0.3">
      <c r="A311" s="1">
        <v>0.06</v>
      </c>
      <c r="B311" s="28">
        <v>6.7806978400849062E-4</v>
      </c>
      <c r="C311" s="28">
        <v>4.9012613960896442E-3</v>
      </c>
      <c r="D311" s="28">
        <v>7.9573030355808167E-3</v>
      </c>
      <c r="E311" s="28">
        <v>1.0351312726799903E-2</v>
      </c>
      <c r="F311" s="28"/>
      <c r="G311" s="28"/>
      <c r="H311" s="28"/>
      <c r="I311" s="28"/>
      <c r="J311" s="28"/>
      <c r="K311" s="28"/>
      <c r="L311" s="28"/>
      <c r="M311" s="28"/>
      <c r="V311">
        <v>1500</v>
      </c>
      <c r="W311" s="28">
        <f>V311/60</f>
        <v>25</v>
      </c>
      <c r="AA311">
        <v>7.8321576126456918E-2</v>
      </c>
      <c r="AB311">
        <v>7.1555337919435802E-2</v>
      </c>
    </row>
    <row r="312" spans="1:38" x14ac:dyDescent="0.3">
      <c r="A312" s="1">
        <v>0.6</v>
      </c>
      <c r="B312" s="28">
        <v>3.4994201165052894E-3</v>
      </c>
      <c r="C312" s="28">
        <v>3.4401087156317608E-2</v>
      </c>
      <c r="D312" s="28">
        <v>6.4326885108561938E-2</v>
      </c>
      <c r="E312" s="28">
        <v>9.1284362909232988E-2</v>
      </c>
      <c r="F312" s="28">
        <v>0.11479551678349938</v>
      </c>
      <c r="G312" s="28">
        <v>0.15467587183430265</v>
      </c>
      <c r="H312" s="28">
        <v>0.18894258013884335</v>
      </c>
      <c r="I312" s="28">
        <v>0.21942204699689646</v>
      </c>
      <c r="J312" s="28">
        <v>0.24736461486302883</v>
      </c>
      <c r="K312" s="28">
        <v>0.27325344606279572</v>
      </c>
      <c r="L312" s="28">
        <v>0.29638010005058507</v>
      </c>
      <c r="M312" s="28">
        <v>0.3855437681367726</v>
      </c>
      <c r="V312">
        <v>3000</v>
      </c>
      <c r="W312" s="28">
        <f>V312/60</f>
        <v>50</v>
      </c>
      <c r="AA312">
        <v>5.6041935481342862E-2</v>
      </c>
      <c r="AB312">
        <v>5.1094254515345439E-2</v>
      </c>
    </row>
    <row r="313" spans="1:38" x14ac:dyDescent="0.3">
      <c r="V313">
        <v>3600</v>
      </c>
      <c r="W313" s="28">
        <f>V313/60</f>
        <v>60</v>
      </c>
      <c r="AA313">
        <v>9.4518807264948844E-3</v>
      </c>
      <c r="AB313">
        <v>1.8647211193208533E-2</v>
      </c>
    </row>
    <row r="314" spans="1:38" x14ac:dyDescent="0.3">
      <c r="B314" t="s">
        <v>93</v>
      </c>
    </row>
    <row r="315" spans="1:38" x14ac:dyDescent="0.3">
      <c r="B315" s="1" t="s">
        <v>95</v>
      </c>
    </row>
    <row r="316" spans="1:38" x14ac:dyDescent="0.3">
      <c r="A316" s="1" t="s">
        <v>92</v>
      </c>
      <c r="B316" s="1">
        <v>0</v>
      </c>
      <c r="C316" s="1">
        <v>10</v>
      </c>
      <c r="D316" s="1">
        <v>20</v>
      </c>
      <c r="E316" s="1">
        <v>40</v>
      </c>
      <c r="F316" s="1">
        <v>60</v>
      </c>
    </row>
    <row r="317" spans="1:38" x14ac:dyDescent="0.3">
      <c r="A317" s="1">
        <v>2.2999999999999998</v>
      </c>
      <c r="B317">
        <v>8.5412287876153407E-3</v>
      </c>
      <c r="C317">
        <f>0.5*2.32</f>
        <v>1.1599999999999999</v>
      </c>
      <c r="D317">
        <v>1.5912085908052271</v>
      </c>
      <c r="E317">
        <v>2.3844817290998086</v>
      </c>
      <c r="F317">
        <v>2.6598425922531188</v>
      </c>
    </row>
    <row r="318" spans="1:38" x14ac:dyDescent="0.3">
      <c r="A318" s="1">
        <v>3</v>
      </c>
      <c r="B318">
        <v>1.3943640006324261E-2</v>
      </c>
      <c r="C318">
        <f>0.7*2.32</f>
        <v>1.6239999999999999</v>
      </c>
      <c r="D318">
        <v>2.5176883273751121</v>
      </c>
      <c r="E318">
        <v>3.8239007706955568</v>
      </c>
      <c r="F318">
        <v>4.8355367152858344</v>
      </c>
      <c r="AJ318" s="1" t="s">
        <v>96</v>
      </c>
      <c r="AK318" t="s">
        <v>97</v>
      </c>
      <c r="AL318" t="s">
        <v>98</v>
      </c>
    </row>
    <row r="319" spans="1:38" x14ac:dyDescent="0.3">
      <c r="AK319" t="s">
        <v>99</v>
      </c>
    </row>
    <row r="320" spans="1:38" x14ac:dyDescent="0.3">
      <c r="AK320" t="s">
        <v>100</v>
      </c>
    </row>
    <row r="323" spans="22:26" x14ac:dyDescent="0.3">
      <c r="X323" t="s">
        <v>101</v>
      </c>
    </row>
    <row r="324" spans="22:26" x14ac:dyDescent="0.3">
      <c r="W324" t="s">
        <v>2</v>
      </c>
      <c r="X324" t="s">
        <v>27</v>
      </c>
    </row>
    <row r="325" spans="22:26" x14ac:dyDescent="0.3">
      <c r="V325" t="s">
        <v>6</v>
      </c>
      <c r="W325" t="s">
        <v>85</v>
      </c>
      <c r="X325" s="1">
        <v>0.6</v>
      </c>
      <c r="Y325" s="1">
        <v>2.2999999999999998</v>
      </c>
      <c r="Z325" s="1">
        <v>3</v>
      </c>
    </row>
    <row r="326" spans="22:26" x14ac:dyDescent="0.3">
      <c r="V326">
        <v>1</v>
      </c>
      <c r="W326" s="28">
        <f>V326/60</f>
        <v>1.6666666666666666E-2</v>
      </c>
      <c r="X326" s="28">
        <v>1.5083707398729697E-3</v>
      </c>
      <c r="Y326" s="28">
        <v>3.6815641325928196E-3</v>
      </c>
      <c r="Z326" s="28">
        <v>6.0101896578983885E-3</v>
      </c>
    </row>
    <row r="327" spans="22:26" x14ac:dyDescent="0.3">
      <c r="V327">
        <v>10</v>
      </c>
      <c r="W327" s="28">
        <f t="shared" ref="W327:W333" si="118">V327/60</f>
        <v>0.16666666666666666</v>
      </c>
      <c r="X327" s="28">
        <v>1.4828054808757591E-2</v>
      </c>
      <c r="Y327" s="28">
        <v>3.5039827056359406E-2</v>
      </c>
      <c r="Z327" s="28">
        <v>5.6474041829963073E-2</v>
      </c>
    </row>
    <row r="328" spans="22:26" x14ac:dyDescent="0.3">
      <c r="V328">
        <v>20</v>
      </c>
      <c r="W328" s="28">
        <f t="shared" si="118"/>
        <v>0.33333333333333331</v>
      </c>
      <c r="X328" s="28">
        <v>2.7727105650242216E-2</v>
      </c>
      <c r="Y328" s="28">
        <v>6.6413736153452141E-2</v>
      </c>
      <c r="Z328" s="28">
        <v>0.10552204106060549</v>
      </c>
    </row>
    <row r="329" spans="22:26" x14ac:dyDescent="0.3">
      <c r="V329">
        <v>40</v>
      </c>
      <c r="W329" s="28">
        <f t="shared" si="118"/>
        <v>0.66666666666666663</v>
      </c>
      <c r="X329" s="28">
        <v>4.9480826199784216E-2</v>
      </c>
      <c r="Y329" s="28">
        <v>0.11600601362217448</v>
      </c>
      <c r="Z329" s="28">
        <v>0.18105176236612505</v>
      </c>
    </row>
    <row r="330" spans="22:26" x14ac:dyDescent="0.3">
      <c r="V330">
        <v>70</v>
      </c>
      <c r="W330" s="28">
        <f t="shared" si="118"/>
        <v>1.1666666666666667</v>
      </c>
      <c r="X330" s="28">
        <v>6.6670634411337359E-2</v>
      </c>
      <c r="Y330" s="28">
        <v>0.15997087343536545</v>
      </c>
      <c r="Z330" s="28">
        <v>0.26119837931378959</v>
      </c>
    </row>
    <row r="331" spans="22:26" x14ac:dyDescent="0.3">
      <c r="V331">
        <v>100</v>
      </c>
      <c r="W331" s="28">
        <f t="shared" si="118"/>
        <v>1.6666666666666667</v>
      </c>
      <c r="X331" s="28">
        <v>9.4578468533145041E-2</v>
      </c>
      <c r="Y331" s="28">
        <v>0.21116713427448019</v>
      </c>
      <c r="Z331" s="28">
        <v>0.32090282881607129</v>
      </c>
    </row>
    <row r="332" spans="22:26" x14ac:dyDescent="0.3">
      <c r="V332">
        <v>120</v>
      </c>
      <c r="W332" s="28">
        <f t="shared" si="118"/>
        <v>2</v>
      </c>
      <c r="X332" s="28">
        <v>0.10662267882027106</v>
      </c>
      <c r="Y332" s="28">
        <v>0.3</v>
      </c>
      <c r="Z332" s="28">
        <v>0.4</v>
      </c>
    </row>
    <row r="333" spans="22:26" x14ac:dyDescent="0.3">
      <c r="V333">
        <v>240</v>
      </c>
      <c r="W333" s="28">
        <f t="shared" si="118"/>
        <v>4</v>
      </c>
      <c r="X333" s="28">
        <v>0.16618265867964338</v>
      </c>
      <c r="Y333" s="28">
        <v>0.4</v>
      </c>
      <c r="Z333" s="28">
        <v>0.5</v>
      </c>
    </row>
    <row r="334" spans="22:26" x14ac:dyDescent="0.3">
      <c r="V334">
        <v>1150</v>
      </c>
      <c r="W334" s="28">
        <f>V334/60</f>
        <v>19.166666666666668</v>
      </c>
      <c r="X334" s="28"/>
      <c r="Y334" s="28">
        <v>0.60693429851224812</v>
      </c>
      <c r="Z334" s="28">
        <v>1.0852104859375484</v>
      </c>
    </row>
    <row r="335" spans="22:26" x14ac:dyDescent="0.3">
      <c r="V335">
        <v>1500</v>
      </c>
      <c r="W335" s="28">
        <f>V335/60</f>
        <v>25</v>
      </c>
      <c r="X335" s="28"/>
      <c r="Y335" s="28">
        <v>0.75506878921287734</v>
      </c>
      <c r="Z335" s="28">
        <v>1.2729919820536786</v>
      </c>
    </row>
    <row r="336" spans="22:26" x14ac:dyDescent="0.3">
      <c r="V336">
        <v>3000</v>
      </c>
      <c r="W336" s="28">
        <f>V336/60</f>
        <v>50</v>
      </c>
      <c r="X336" s="28"/>
      <c r="Y336" s="28">
        <v>1.123517390626154</v>
      </c>
      <c r="Z336" s="28">
        <v>1.8048470324507906</v>
      </c>
    </row>
    <row r="337" spans="22:26" x14ac:dyDescent="0.3">
      <c r="V337">
        <v>3600</v>
      </c>
      <c r="W337" s="28">
        <f>V337/60</f>
        <v>60</v>
      </c>
      <c r="X337" s="28"/>
      <c r="Y337" s="28">
        <v>1.146483875971172</v>
      </c>
      <c r="Z337" s="28">
        <v>1.9096355453818252</v>
      </c>
    </row>
    <row r="359" spans="1:7" x14ac:dyDescent="0.3">
      <c r="C359" t="s">
        <v>103</v>
      </c>
    </row>
    <row r="360" spans="1:7" x14ac:dyDescent="0.3">
      <c r="A360" t="s">
        <v>79</v>
      </c>
      <c r="B360" t="s">
        <v>102</v>
      </c>
      <c r="C360">
        <v>1</v>
      </c>
      <c r="D360">
        <v>2</v>
      </c>
      <c r="E360">
        <v>3</v>
      </c>
      <c r="F360">
        <v>4</v>
      </c>
      <c r="G360">
        <v>5</v>
      </c>
    </row>
    <row r="361" spans="1:7" x14ac:dyDescent="0.3">
      <c r="B361">
        <v>1</v>
      </c>
      <c r="C361">
        <v>15.415092243249081</v>
      </c>
      <c r="D361">
        <v>16.544777126528505</v>
      </c>
      <c r="E361">
        <v>17.426447563790319</v>
      </c>
      <c r="F361">
        <v>16.021212615006078</v>
      </c>
      <c r="G361">
        <v>16.088196615119717</v>
      </c>
    </row>
    <row r="362" spans="1:7" x14ac:dyDescent="0.3">
      <c r="B362">
        <v>10</v>
      </c>
      <c r="C362">
        <v>15.146461416347687</v>
      </c>
      <c r="D362">
        <v>14.341057235218518</v>
      </c>
      <c r="E362">
        <v>15.515984911619588</v>
      </c>
      <c r="F362">
        <v>15.372023888412247</v>
      </c>
      <c r="G362">
        <v>15.009183882567346</v>
      </c>
    </row>
    <row r="363" spans="1:7" x14ac:dyDescent="0.3">
      <c r="B363">
        <v>20</v>
      </c>
      <c r="C363">
        <v>13.296446789889815</v>
      </c>
      <c r="D363">
        <v>12.940285874907138</v>
      </c>
      <c r="E363">
        <v>12.001264633383139</v>
      </c>
      <c r="F363">
        <v>12.741311623895809</v>
      </c>
      <c r="G363">
        <v>13.129267129928513</v>
      </c>
    </row>
    <row r="364" spans="1:7" x14ac:dyDescent="0.3">
      <c r="B364">
        <v>40</v>
      </c>
      <c r="C364">
        <v>10.562079760992489</v>
      </c>
      <c r="D364">
        <v>10.179944099245175</v>
      </c>
      <c r="E364">
        <v>9.3832679475045939</v>
      </c>
      <c r="F364">
        <v>9.9640167804956921</v>
      </c>
      <c r="G364">
        <v>10.108973891127574</v>
      </c>
    </row>
    <row r="365" spans="1:7" x14ac:dyDescent="0.3">
      <c r="B365">
        <v>70</v>
      </c>
      <c r="C365">
        <v>8.6038370025164816</v>
      </c>
      <c r="D365">
        <v>8.1062314151035846</v>
      </c>
      <c r="E365">
        <v>6.6058028525170522</v>
      </c>
      <c r="F365">
        <v>6.7314966045899789</v>
      </c>
      <c r="G365">
        <v>7.1512692326672695</v>
      </c>
    </row>
    <row r="366" spans="1:7" x14ac:dyDescent="0.3">
      <c r="B366">
        <v>100</v>
      </c>
      <c r="C366">
        <v>6.8362494781767147</v>
      </c>
      <c r="D366">
        <v>6.4014247061282106</v>
      </c>
      <c r="E366">
        <v>4.4821025967010915</v>
      </c>
      <c r="F366">
        <v>4.8432578236465842</v>
      </c>
      <c r="G366">
        <v>5.3272690606243431</v>
      </c>
    </row>
    <row r="367" spans="1:7" x14ac:dyDescent="0.3">
      <c r="A367">
        <v>3</v>
      </c>
      <c r="B367">
        <v>180</v>
      </c>
      <c r="C367">
        <v>3.5</v>
      </c>
      <c r="D367">
        <v>3.5</v>
      </c>
      <c r="E367">
        <v>2.8578655044690113</v>
      </c>
      <c r="F367">
        <v>3.7983101487555739</v>
      </c>
      <c r="G367">
        <v>3.0272996891063269</v>
      </c>
    </row>
    <row r="368" spans="1:7" x14ac:dyDescent="0.3">
      <c r="A368">
        <v>4.5</v>
      </c>
      <c r="B368">
        <f t="shared" ref="B368:B373" si="119">A368*60</f>
        <v>270</v>
      </c>
      <c r="C368">
        <v>2.5</v>
      </c>
      <c r="D368">
        <v>2.5</v>
      </c>
      <c r="E368">
        <v>2.9502196331725696</v>
      </c>
      <c r="F368">
        <v>2.5</v>
      </c>
      <c r="G368">
        <v>2.5</v>
      </c>
    </row>
    <row r="369" spans="1:7" x14ac:dyDescent="0.3">
      <c r="A369">
        <v>19</v>
      </c>
      <c r="B369">
        <f t="shared" si="119"/>
        <v>1140</v>
      </c>
      <c r="G369">
        <v>1.7869049668736712</v>
      </c>
    </row>
    <row r="370" spans="1:7" x14ac:dyDescent="0.3">
      <c r="A370">
        <v>24</v>
      </c>
      <c r="B370">
        <f t="shared" si="119"/>
        <v>1440</v>
      </c>
      <c r="G370">
        <v>1.2150457532090406</v>
      </c>
    </row>
    <row r="371" spans="1:7" x14ac:dyDescent="0.3">
      <c r="A371">
        <v>40</v>
      </c>
      <c r="B371">
        <f t="shared" si="119"/>
        <v>2400</v>
      </c>
      <c r="G371">
        <v>1.0977627875989922</v>
      </c>
    </row>
    <row r="372" spans="1:7" x14ac:dyDescent="0.3">
      <c r="A372">
        <v>50</v>
      </c>
      <c r="B372">
        <f t="shared" si="119"/>
        <v>3000</v>
      </c>
      <c r="G372">
        <v>0.82201441254584584</v>
      </c>
    </row>
    <row r="373" spans="1:7" x14ac:dyDescent="0.3">
      <c r="A373">
        <v>60</v>
      </c>
      <c r="B373">
        <f t="shared" si="119"/>
        <v>3600</v>
      </c>
      <c r="G373">
        <v>0.3</v>
      </c>
    </row>
    <row r="379" spans="1:7" x14ac:dyDescent="0.3">
      <c r="C379" t="s">
        <v>108</v>
      </c>
    </row>
    <row r="380" spans="1:7" x14ac:dyDescent="0.3">
      <c r="C380" t="s">
        <v>107</v>
      </c>
    </row>
    <row r="381" spans="1:7" x14ac:dyDescent="0.3">
      <c r="A381" t="s">
        <v>2</v>
      </c>
      <c r="C381">
        <v>2.2999999999999998</v>
      </c>
      <c r="D381">
        <v>3</v>
      </c>
    </row>
    <row r="382" spans="1:7" x14ac:dyDescent="0.3">
      <c r="A382" t="s">
        <v>79</v>
      </c>
      <c r="B382" t="s">
        <v>106</v>
      </c>
      <c r="C382" t="s">
        <v>105</v>
      </c>
      <c r="D382" t="s">
        <v>104</v>
      </c>
    </row>
    <row r="383" spans="1:7" x14ac:dyDescent="0.3">
      <c r="B383">
        <v>1</v>
      </c>
      <c r="C383">
        <v>8.5412287876153407E-3</v>
      </c>
      <c r="D383">
        <f>(C361/1000*$B$11*B361*60)/0.1</f>
        <v>1.3360260447223979E-2</v>
      </c>
    </row>
    <row r="384" spans="1:7" x14ac:dyDescent="0.3">
      <c r="B384">
        <v>10</v>
      </c>
      <c r="C384">
        <v>8.1292398770753824E-2</v>
      </c>
      <c r="D384">
        <f>((C362/1000*$B$11*(B362-B361)*60)/0.1)+D383</f>
        <v>0.13150720343316086</v>
      </c>
    </row>
    <row r="385" spans="1:4" x14ac:dyDescent="0.3">
      <c r="B385">
        <v>20</v>
      </c>
      <c r="C385">
        <v>0.15407986787600897</v>
      </c>
      <c r="D385">
        <f t="shared" ref="D385:D390" si="120">((C363/1000*$B$11*(B363-B362)*60)/0.1)+D384</f>
        <v>0.24674750776113591</v>
      </c>
    </row>
    <row r="386" spans="1:4" x14ac:dyDescent="0.3">
      <c r="B386">
        <v>40</v>
      </c>
      <c r="C386">
        <v>0.26913395160344478</v>
      </c>
      <c r="D386">
        <f t="shared" si="120"/>
        <v>0.42983059833817971</v>
      </c>
    </row>
    <row r="387" spans="1:4" x14ac:dyDescent="0.3">
      <c r="B387">
        <v>70</v>
      </c>
      <c r="C387">
        <v>0.37113242637004784</v>
      </c>
      <c r="D387">
        <f t="shared" si="120"/>
        <v>0.65353896424061075</v>
      </c>
    </row>
    <row r="388" spans="1:4" x14ac:dyDescent="0.3">
      <c r="B388">
        <v>100</v>
      </c>
      <c r="C388">
        <v>0.489907751516794</v>
      </c>
      <c r="D388">
        <f t="shared" si="120"/>
        <v>0.83128828692268353</v>
      </c>
    </row>
    <row r="389" spans="1:4" x14ac:dyDescent="0.3">
      <c r="A389">
        <v>3</v>
      </c>
      <c r="B389">
        <v>180</v>
      </c>
      <c r="C389">
        <v>0.8</v>
      </c>
      <c r="D389">
        <f t="shared" si="120"/>
        <v>1.0739642869226835</v>
      </c>
    </row>
    <row r="390" spans="1:4" x14ac:dyDescent="0.3">
      <c r="A390">
        <v>4.5</v>
      </c>
      <c r="B390">
        <f>A390*60</f>
        <v>270</v>
      </c>
      <c r="C390">
        <v>1</v>
      </c>
      <c r="D390">
        <f t="shared" si="120"/>
        <v>1.2689717869226835</v>
      </c>
    </row>
    <row r="391" spans="1:4" x14ac:dyDescent="0.3">
      <c r="A391">
        <v>20</v>
      </c>
      <c r="B391">
        <f>A391*60</f>
        <v>1200</v>
      </c>
      <c r="C391">
        <v>1.5912085908052271</v>
      </c>
    </row>
    <row r="392" spans="1:4" x14ac:dyDescent="0.3">
      <c r="A392">
        <v>40</v>
      </c>
      <c r="B392">
        <f>A392*60</f>
        <v>2400</v>
      </c>
      <c r="C392">
        <v>2.3844817290998086</v>
      </c>
    </row>
    <row r="393" spans="1:4" x14ac:dyDescent="0.3">
      <c r="A393">
        <v>50</v>
      </c>
      <c r="B393">
        <f>A393*60</f>
        <v>3000</v>
      </c>
      <c r="C393">
        <v>2.6065603462526772</v>
      </c>
    </row>
    <row r="394" spans="1:4" x14ac:dyDescent="0.3">
      <c r="A394">
        <v>60</v>
      </c>
      <c r="B394">
        <f>A394*60</f>
        <v>3600</v>
      </c>
      <c r="C394">
        <v>2.6598425922531188</v>
      </c>
    </row>
    <row r="403" spans="1:16" x14ac:dyDescent="0.3">
      <c r="A403" t="s">
        <v>44</v>
      </c>
      <c r="B403">
        <v>1.03924094284E-5</v>
      </c>
      <c r="C403" t="s">
        <v>41</v>
      </c>
    </row>
    <row r="404" spans="1:16" x14ac:dyDescent="0.3">
      <c r="B404">
        <f>B403*1000</f>
        <v>1.03924094284E-2</v>
      </c>
      <c r="C404" t="s">
        <v>113</v>
      </c>
    </row>
    <row r="407" spans="1:16" x14ac:dyDescent="0.3">
      <c r="C407" s="1" t="s">
        <v>109</v>
      </c>
    </row>
    <row r="408" spans="1:16" x14ac:dyDescent="0.3">
      <c r="J408" t="s">
        <v>115</v>
      </c>
    </row>
    <row r="409" spans="1:16" x14ac:dyDescent="0.3">
      <c r="C409" t="s">
        <v>110</v>
      </c>
      <c r="J409" t="s">
        <v>93</v>
      </c>
      <c r="K409" t="s">
        <v>114</v>
      </c>
    </row>
    <row r="410" spans="1:16" x14ac:dyDescent="0.3">
      <c r="A410" t="s">
        <v>2</v>
      </c>
      <c r="C410" t="s">
        <v>112</v>
      </c>
      <c r="D410" t="s">
        <v>117</v>
      </c>
      <c r="E410" t="s">
        <v>111</v>
      </c>
      <c r="J410" t="s">
        <v>95</v>
      </c>
    </row>
    <row r="411" spans="1:16" x14ac:dyDescent="0.3">
      <c r="A411" t="s">
        <v>79</v>
      </c>
      <c r="B411" t="s">
        <v>106</v>
      </c>
      <c r="C411" t="s">
        <v>104</v>
      </c>
      <c r="D411" t="s">
        <v>116</v>
      </c>
      <c r="I411" t="s">
        <v>92</v>
      </c>
      <c r="J411">
        <v>0</v>
      </c>
      <c r="K411">
        <v>0.5</v>
      </c>
      <c r="L411">
        <v>1</v>
      </c>
      <c r="M411">
        <v>1.5</v>
      </c>
      <c r="N411">
        <v>2</v>
      </c>
      <c r="O411">
        <v>2.5</v>
      </c>
      <c r="P411">
        <v>3</v>
      </c>
    </row>
    <row r="412" spans="1:16" x14ac:dyDescent="0.3">
      <c r="A412">
        <v>0</v>
      </c>
      <c r="B412">
        <v>1</v>
      </c>
      <c r="C412">
        <f>(C361/1000*$B$11*B361*60)/0.1</f>
        <v>1.3360260447223979E-2</v>
      </c>
      <c r="D412">
        <f>(C361/1000*$B$11*B361*60)/B404</f>
        <v>0.12855787235165644</v>
      </c>
      <c r="E412">
        <v>0</v>
      </c>
      <c r="I412">
        <v>6.0000000000000001E-3</v>
      </c>
      <c r="J412">
        <v>0</v>
      </c>
      <c r="K412">
        <v>7.0888607251517605E-2</v>
      </c>
      <c r="L412">
        <v>0.14177721450303521</v>
      </c>
      <c r="M412">
        <v>0.21266582175455281</v>
      </c>
      <c r="N412">
        <v>0.28355442900607042</v>
      </c>
      <c r="O412">
        <v>0.35444303625758805</v>
      </c>
      <c r="P412">
        <v>0.42533164350910563</v>
      </c>
    </row>
    <row r="413" spans="1:16" x14ac:dyDescent="0.3">
      <c r="C413">
        <f>((C362/1000*$B$11*(B362-B361)*60)/0.1)+C412</f>
        <v>0.13150720343316086</v>
      </c>
      <c r="D413">
        <f>((C362/1000*$B$11*(B362-B361)*60)/B404)+D412</f>
        <v>1.2654159205254436</v>
      </c>
      <c r="I413">
        <v>0.06</v>
      </c>
      <c r="J413">
        <v>0</v>
      </c>
      <c r="K413">
        <v>0.1701738730665186</v>
      </c>
      <c r="L413">
        <v>0.3403477461330372</v>
      </c>
      <c r="M413">
        <v>0.51052161919955574</v>
      </c>
      <c r="N413">
        <v>0.6806954922660744</v>
      </c>
      <c r="O413">
        <v>0.85086936533259305</v>
      </c>
      <c r="P413">
        <v>1.0210432383991115</v>
      </c>
    </row>
    <row r="414" spans="1:16" x14ac:dyDescent="0.3">
      <c r="C414">
        <f t="shared" ref="C414:C419" si="121">((C363/1000*$B$11*(B363-B362)*60)/0.1)+C413</f>
        <v>0.24674750776113591</v>
      </c>
      <c r="D414">
        <f>((C363/1000*$B$11*(B363-B362)*60)/B404)+D413</f>
        <v>2.3743051066370926</v>
      </c>
      <c r="I414">
        <v>0.6</v>
      </c>
      <c r="J414">
        <v>0</v>
      </c>
      <c r="K414">
        <v>1.1147937336421194</v>
      </c>
      <c r="L414">
        <v>2.2295874672842388</v>
      </c>
      <c r="M414">
        <v>3.3443812009263585</v>
      </c>
      <c r="N414">
        <v>4.4591749345684777</v>
      </c>
      <c r="O414">
        <v>5.5739686682105978</v>
      </c>
      <c r="P414">
        <v>6.688762401852717</v>
      </c>
    </row>
    <row r="415" spans="1:16" x14ac:dyDescent="0.3">
      <c r="A415">
        <v>0.5</v>
      </c>
      <c r="B415">
        <v>40</v>
      </c>
      <c r="C415">
        <f t="shared" si="121"/>
        <v>0.42983059833817971</v>
      </c>
      <c r="D415">
        <f>((C364/1000*$B$11*(B364-B363)*60)/B404)+D414</f>
        <v>4.1360052382420029</v>
      </c>
      <c r="E415">
        <v>4.1814120319008765</v>
      </c>
      <c r="I415">
        <v>3</v>
      </c>
      <c r="J415">
        <v>0</v>
      </c>
      <c r="K415">
        <v>4.1814120319008765</v>
      </c>
      <c r="L415">
        <v>8.362824063801753</v>
      </c>
      <c r="M415">
        <v>12.544236095702631</v>
      </c>
      <c r="N415">
        <v>16.725648127603506</v>
      </c>
      <c r="O415">
        <v>20.907060159504386</v>
      </c>
      <c r="P415">
        <v>25.088472191405263</v>
      </c>
    </row>
    <row r="416" spans="1:16" x14ac:dyDescent="0.3">
      <c r="A416">
        <v>1</v>
      </c>
      <c r="B416">
        <v>70</v>
      </c>
      <c r="C416">
        <f t="shared" si="121"/>
        <v>0.65353896424061075</v>
      </c>
      <c r="D416">
        <f>((C365/1000*$B$11*(B365-B364)*60)/B404)+D415</f>
        <v>6.2886183299769076</v>
      </c>
      <c r="E416">
        <v>8.362824063801753</v>
      </c>
    </row>
    <row r="417" spans="1:9" x14ac:dyDescent="0.3">
      <c r="A417">
        <v>1.5</v>
      </c>
      <c r="B417">
        <v>100</v>
      </c>
      <c r="C417">
        <f t="shared" si="121"/>
        <v>0.83128828692268353</v>
      </c>
      <c r="D417">
        <f>((C366/1000*$B$11*(B366-B365)*60)/B404)+D416</f>
        <v>7.9989947725786195</v>
      </c>
      <c r="E417">
        <v>12.544236095702631</v>
      </c>
    </row>
    <row r="418" spans="1:9" x14ac:dyDescent="0.3">
      <c r="A418">
        <v>3</v>
      </c>
      <c r="B418">
        <v>180</v>
      </c>
      <c r="C418">
        <f t="shared" si="121"/>
        <v>1.0739642869226835</v>
      </c>
      <c r="D418">
        <f>((C367/1000*$B$11*(B367-B366)*60)/B404)+D417</f>
        <v>10.334122171782347</v>
      </c>
      <c r="E418">
        <v>25.088472191405263</v>
      </c>
      <c r="I418" t="s">
        <v>118</v>
      </c>
    </row>
    <row r="419" spans="1:9" x14ac:dyDescent="0.3">
      <c r="A419">
        <v>4.5</v>
      </c>
      <c r="B419">
        <v>270</v>
      </c>
      <c r="C419">
        <f t="shared" si="121"/>
        <v>1.2689717869226835</v>
      </c>
      <c r="D419">
        <f>((C368/1000*$B$11*(B368-B367)*60)/B404)+D418</f>
        <v>12.210563831856772</v>
      </c>
    </row>
    <row r="420" spans="1:9" x14ac:dyDescent="0.3">
      <c r="A420">
        <v>20</v>
      </c>
      <c r="B420">
        <v>1200</v>
      </c>
    </row>
    <row r="421" spans="1:9" x14ac:dyDescent="0.3">
      <c r="A421">
        <v>40</v>
      </c>
      <c r="B421">
        <v>2400</v>
      </c>
    </row>
    <row r="422" spans="1:9" x14ac:dyDescent="0.3">
      <c r="A422">
        <v>50</v>
      </c>
      <c r="B422">
        <v>3000</v>
      </c>
    </row>
    <row r="423" spans="1:9" x14ac:dyDescent="0.3">
      <c r="A423">
        <v>60</v>
      </c>
      <c r="B423">
        <v>3600</v>
      </c>
    </row>
    <row r="441" spans="1:2" x14ac:dyDescent="0.3">
      <c r="A441" t="s">
        <v>119</v>
      </c>
    </row>
    <row r="442" spans="1:2" x14ac:dyDescent="0.3">
      <c r="A442" t="s">
        <v>120</v>
      </c>
      <c r="B442" t="s">
        <v>121</v>
      </c>
    </row>
    <row r="443" spans="1:2" x14ac:dyDescent="0.3">
      <c r="A443" t="s">
        <v>122</v>
      </c>
      <c r="B443" t="s">
        <v>123</v>
      </c>
    </row>
    <row r="444" spans="1:2" x14ac:dyDescent="0.3">
      <c r="A444" t="s">
        <v>124</v>
      </c>
      <c r="B444" t="s">
        <v>125</v>
      </c>
    </row>
    <row r="445" spans="1:2" x14ac:dyDescent="0.3">
      <c r="A445" t="s">
        <v>126</v>
      </c>
      <c r="B445">
        <v>56968374</v>
      </c>
    </row>
    <row r="446" spans="1:2" x14ac:dyDescent="0.3">
      <c r="A446" t="s">
        <v>127</v>
      </c>
      <c r="B446" t="s">
        <v>128</v>
      </c>
    </row>
    <row r="447" spans="1:2" x14ac:dyDescent="0.3">
      <c r="A447" t="s">
        <v>129</v>
      </c>
      <c r="B447" t="s">
        <v>130</v>
      </c>
    </row>
    <row r="448" spans="1:2" x14ac:dyDescent="0.3">
      <c r="A448" t="s">
        <v>131</v>
      </c>
      <c r="B448">
        <v>0</v>
      </c>
    </row>
    <row r="449" spans="1:2" x14ac:dyDescent="0.3">
      <c r="A449" t="s">
        <v>132</v>
      </c>
      <c r="B449" t="s">
        <v>133</v>
      </c>
    </row>
    <row r="450" spans="1:2" x14ac:dyDescent="0.3">
      <c r="A450" t="s">
        <v>134</v>
      </c>
      <c r="B450" t="s">
        <v>135</v>
      </c>
    </row>
    <row r="451" spans="1:2" x14ac:dyDescent="0.3">
      <c r="A451" t="s">
        <v>136</v>
      </c>
      <c r="B451">
        <v>8</v>
      </c>
    </row>
    <row r="452" spans="1:2" x14ac:dyDescent="0.3">
      <c r="A452" t="s">
        <v>137</v>
      </c>
      <c r="B452" t="s">
        <v>138</v>
      </c>
    </row>
    <row r="453" spans="1:2" x14ac:dyDescent="0.3">
      <c r="A453" t="s">
        <v>139</v>
      </c>
      <c r="B453">
        <v>2057</v>
      </c>
    </row>
    <row r="455" spans="1:2" x14ac:dyDescent="0.3">
      <c r="A455" t="s">
        <v>140</v>
      </c>
    </row>
    <row r="456" spans="1:2" x14ac:dyDescent="0.3">
      <c r="A456" t="s">
        <v>141</v>
      </c>
      <c r="B456">
        <v>1033</v>
      </c>
    </row>
    <row r="457" spans="1:2" x14ac:dyDescent="0.3">
      <c r="A457" t="s">
        <v>142</v>
      </c>
      <c r="B457">
        <v>1033</v>
      </c>
    </row>
    <row r="459" spans="1:2" x14ac:dyDescent="0.3">
      <c r="A459" t="s">
        <v>143</v>
      </c>
    </row>
    <row r="460" spans="1:2" x14ac:dyDescent="0.3">
      <c r="A460" t="s">
        <v>144</v>
      </c>
    </row>
    <row r="462" spans="1:2" x14ac:dyDescent="0.3">
      <c r="A462" t="s">
        <v>145</v>
      </c>
    </row>
    <row r="463" spans="1:2" x14ac:dyDescent="0.3">
      <c r="A463" t="s">
        <v>146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V380"/>
  <sheetViews>
    <sheetView topLeftCell="AO187" zoomScale="130" zoomScaleNormal="130" workbookViewId="0">
      <selection activeCell="AO163" sqref="AO163"/>
    </sheetView>
  </sheetViews>
  <sheetFormatPr defaultRowHeight="14.4" x14ac:dyDescent="0.3"/>
  <cols>
    <col min="1" max="1" width="28.5546875" bestFit="1" customWidth="1"/>
    <col min="2" max="2" width="15.6640625" bestFit="1" customWidth="1"/>
    <col min="3" max="3" width="35" customWidth="1"/>
    <col min="4" max="4" width="30.33203125" bestFit="1" customWidth="1"/>
    <col min="5" max="5" width="18.6640625" bestFit="1" customWidth="1"/>
    <col min="6" max="6" width="17" bestFit="1" customWidth="1"/>
    <col min="7" max="7" width="13" bestFit="1" customWidth="1"/>
    <col min="8" max="8" width="20.33203125" bestFit="1" customWidth="1"/>
    <col min="9" max="9" width="19.33203125" bestFit="1" customWidth="1"/>
    <col min="15" max="15" width="10.6640625" bestFit="1" customWidth="1"/>
    <col min="16" max="16" width="11.6640625" bestFit="1" customWidth="1"/>
    <col min="17" max="17" width="12.33203125" bestFit="1" customWidth="1"/>
    <col min="19" max="19" width="10.6640625" bestFit="1" customWidth="1"/>
    <col min="21" max="21" width="19" bestFit="1" customWidth="1"/>
    <col min="22" max="22" width="13.33203125" customWidth="1"/>
    <col min="26" max="26" width="14.6640625" bestFit="1" customWidth="1"/>
    <col min="30" max="30" width="28" bestFit="1" customWidth="1"/>
    <col min="31" max="31" width="10" customWidth="1"/>
    <col min="32" max="32" width="28.5546875" bestFit="1" customWidth="1"/>
    <col min="33" max="33" width="21.5546875" bestFit="1" customWidth="1"/>
    <col min="36" max="36" width="16" bestFit="1" customWidth="1"/>
    <col min="37" max="37" width="18.6640625" bestFit="1" customWidth="1"/>
    <col min="38" max="38" width="9.5546875" customWidth="1"/>
    <col min="39" max="39" width="14.6640625" customWidth="1"/>
    <col min="40" max="40" width="14.6640625" bestFit="1" customWidth="1"/>
    <col min="41" max="41" width="19" bestFit="1" customWidth="1"/>
    <col min="42" max="42" width="11" customWidth="1"/>
    <col min="45" max="45" width="10.6640625" bestFit="1" customWidth="1"/>
    <col min="64" max="64" width="10.5546875" bestFit="1" customWidth="1"/>
    <col min="66" max="66" width="10.6640625" bestFit="1" customWidth="1"/>
    <col min="67" max="67" width="28" bestFit="1" customWidth="1"/>
    <col min="69" max="69" width="19.33203125" bestFit="1" customWidth="1"/>
    <col min="74" max="74" width="11.5546875" bestFit="1" customWidth="1"/>
    <col min="80" max="80" width="13.44140625" bestFit="1" customWidth="1"/>
    <col min="88" max="88" width="17" bestFit="1" customWidth="1"/>
    <col min="91" max="91" width="10.6640625" bestFit="1" customWidth="1"/>
    <col min="94" max="94" width="31.33203125" bestFit="1" customWidth="1"/>
    <col min="95" max="95" width="13" bestFit="1" customWidth="1"/>
    <col min="96" max="96" width="20.33203125" bestFit="1" customWidth="1"/>
    <col min="102" max="102" width="11.5546875" bestFit="1" customWidth="1"/>
    <col min="128" max="129" width="11.33203125" bestFit="1" customWidth="1"/>
    <col min="140" max="140" width="11.5546875" bestFit="1" customWidth="1"/>
  </cols>
  <sheetData>
    <row r="1" spans="1:151" x14ac:dyDescent="0.3">
      <c r="A1" s="38" t="s">
        <v>163</v>
      </c>
      <c r="B1" s="31"/>
      <c r="C1" s="31"/>
      <c r="D1" s="31"/>
      <c r="E1" s="31"/>
      <c r="AE1" s="38" t="s">
        <v>163</v>
      </c>
      <c r="AF1" s="31"/>
      <c r="AG1" s="31"/>
      <c r="AH1" s="31"/>
      <c r="AI1" s="31"/>
      <c r="BH1" s="38" t="s">
        <v>163</v>
      </c>
      <c r="BI1" s="31"/>
      <c r="BJ1" s="31"/>
      <c r="BK1" s="31"/>
      <c r="BL1" s="31"/>
      <c r="CJ1" s="38" t="s">
        <v>163</v>
      </c>
      <c r="CK1" s="31"/>
      <c r="CL1" s="31"/>
      <c r="CM1" s="31"/>
      <c r="CN1" s="31"/>
      <c r="DV1" s="38" t="s">
        <v>163</v>
      </c>
      <c r="DW1" s="31"/>
      <c r="DX1" s="31"/>
      <c r="DY1" s="31"/>
      <c r="DZ1" s="31"/>
    </row>
    <row r="2" spans="1:151" x14ac:dyDescent="0.3">
      <c r="A2" s="31"/>
      <c r="B2" s="31"/>
      <c r="C2" s="31"/>
      <c r="D2" s="31"/>
      <c r="E2" s="31"/>
      <c r="P2" t="s">
        <v>153</v>
      </c>
      <c r="AE2" s="31"/>
      <c r="AF2" s="31"/>
      <c r="AG2" s="31"/>
      <c r="AH2" s="31"/>
      <c r="AI2" s="31"/>
      <c r="AT2" t="s">
        <v>153</v>
      </c>
      <c r="BH2" s="31"/>
      <c r="BI2" s="31"/>
      <c r="BJ2" s="31"/>
      <c r="BK2" s="31"/>
      <c r="BL2" s="31"/>
      <c r="BW2" t="s">
        <v>153</v>
      </c>
      <c r="CJ2" s="31"/>
      <c r="CK2" s="31"/>
      <c r="CL2" s="31"/>
      <c r="CM2" s="31"/>
      <c r="CN2" s="31"/>
      <c r="CY2" t="s">
        <v>153</v>
      </c>
      <c r="DV2" s="31"/>
      <c r="DW2" s="31"/>
      <c r="DX2" s="31"/>
      <c r="DY2" s="31"/>
      <c r="DZ2" s="31"/>
      <c r="EK2" t="s">
        <v>153</v>
      </c>
    </row>
    <row r="3" spans="1:151" x14ac:dyDescent="0.3">
      <c r="A3" s="32" t="s">
        <v>14</v>
      </c>
      <c r="B3" s="33"/>
      <c r="C3" s="33"/>
      <c r="D3" s="33"/>
      <c r="E3" s="34"/>
      <c r="F3" s="6"/>
      <c r="K3" s="6" t="s">
        <v>15</v>
      </c>
      <c r="P3" t="s">
        <v>154</v>
      </c>
      <c r="U3" s="6" t="s">
        <v>164</v>
      </c>
      <c r="AE3" s="32" t="s">
        <v>14</v>
      </c>
      <c r="AF3" s="33"/>
      <c r="AG3" s="33"/>
      <c r="AH3" s="33"/>
      <c r="AI3" s="34"/>
      <c r="AJ3" s="6"/>
      <c r="AO3" s="6" t="s">
        <v>15</v>
      </c>
      <c r="AT3" t="s">
        <v>154</v>
      </c>
      <c r="AY3" s="6" t="s">
        <v>164</v>
      </c>
      <c r="AZ3" s="42"/>
      <c r="BA3" s="40"/>
      <c r="BH3" s="32" t="s">
        <v>14</v>
      </c>
      <c r="BI3" s="33"/>
      <c r="BJ3" s="33"/>
      <c r="BK3" s="33"/>
      <c r="BL3" s="34"/>
      <c r="BM3" s="6"/>
      <c r="BR3" s="6" t="s">
        <v>15</v>
      </c>
      <c r="BW3" t="s">
        <v>154</v>
      </c>
      <c r="CB3" s="6" t="s">
        <v>164</v>
      </c>
      <c r="CC3" s="42"/>
      <c r="CD3" s="40"/>
      <c r="CJ3" s="32" t="s">
        <v>14</v>
      </c>
      <c r="CK3" s="33"/>
      <c r="CL3" s="33"/>
      <c r="CM3" s="33"/>
      <c r="CN3" s="34"/>
      <c r="CO3" s="6"/>
      <c r="CT3" s="6" t="s">
        <v>15</v>
      </c>
      <c r="CY3" t="s">
        <v>154</v>
      </c>
      <c r="DD3" s="6" t="s">
        <v>164</v>
      </c>
      <c r="DE3" s="42"/>
      <c r="DF3" s="40"/>
      <c r="DV3" s="32" t="s">
        <v>14</v>
      </c>
      <c r="DW3" s="33"/>
      <c r="DX3" s="33"/>
      <c r="DY3" s="33"/>
      <c r="DZ3" s="34"/>
      <c r="EA3" s="6"/>
      <c r="EF3" s="6" t="s">
        <v>15</v>
      </c>
      <c r="EK3" t="s">
        <v>154</v>
      </c>
      <c r="EP3" s="6" t="s">
        <v>164</v>
      </c>
      <c r="EQ3" s="42"/>
      <c r="ER3" s="40"/>
    </row>
    <row r="4" spans="1:151" x14ac:dyDescent="0.3">
      <c r="A4" s="35" t="s">
        <v>13</v>
      </c>
      <c r="B4" s="36"/>
      <c r="C4" s="36"/>
      <c r="D4" s="36"/>
      <c r="E4" s="37"/>
      <c r="F4" s="6" t="s">
        <v>6</v>
      </c>
      <c r="K4" s="7" t="s">
        <v>1</v>
      </c>
      <c r="P4" t="s">
        <v>155</v>
      </c>
      <c r="U4" s="27" t="s">
        <v>23</v>
      </c>
      <c r="Z4" s="24" t="s">
        <v>162</v>
      </c>
      <c r="AE4" s="35" t="s">
        <v>13</v>
      </c>
      <c r="AF4" s="36"/>
      <c r="AG4" s="36"/>
      <c r="AH4" s="36"/>
      <c r="AI4" s="37"/>
      <c r="AJ4" s="6" t="s">
        <v>6</v>
      </c>
      <c r="AO4" s="7" t="s">
        <v>1</v>
      </c>
      <c r="AT4" t="s">
        <v>155</v>
      </c>
      <c r="AY4" s="6" t="s">
        <v>23</v>
      </c>
      <c r="AZ4" s="42"/>
      <c r="BA4" s="40"/>
      <c r="BD4" s="24" t="s">
        <v>162</v>
      </c>
      <c r="BH4" s="35" t="s">
        <v>13</v>
      </c>
      <c r="BI4" s="36"/>
      <c r="BJ4" s="36"/>
      <c r="BK4" s="36"/>
      <c r="BL4" s="37"/>
      <c r="BM4" s="6" t="s">
        <v>6</v>
      </c>
      <c r="BR4" s="7" t="s">
        <v>1</v>
      </c>
      <c r="BW4" t="s">
        <v>155</v>
      </c>
      <c r="CB4" s="6" t="s">
        <v>23</v>
      </c>
      <c r="CC4" s="42"/>
      <c r="CD4" s="40"/>
      <c r="CG4" s="24" t="s">
        <v>162</v>
      </c>
      <c r="CJ4" s="35" t="s">
        <v>13</v>
      </c>
      <c r="CK4" s="36"/>
      <c r="CL4" s="36"/>
      <c r="CM4" s="36"/>
      <c r="CN4" s="37"/>
      <c r="CO4" s="6" t="s">
        <v>6</v>
      </c>
      <c r="CT4" s="7" t="s">
        <v>1</v>
      </c>
      <c r="CY4" t="s">
        <v>155</v>
      </c>
      <c r="DD4" s="6" t="s">
        <v>23</v>
      </c>
      <c r="DE4" s="42"/>
      <c r="DF4" s="40"/>
      <c r="DI4" s="24" t="s">
        <v>162</v>
      </c>
      <c r="DV4" s="35" t="s">
        <v>13</v>
      </c>
      <c r="DW4" s="36"/>
      <c r="DX4" s="36"/>
      <c r="DY4" s="36"/>
      <c r="DZ4" s="37"/>
      <c r="EA4" s="6" t="s">
        <v>6</v>
      </c>
      <c r="EF4" s="7" t="s">
        <v>1</v>
      </c>
      <c r="EK4" t="s">
        <v>155</v>
      </c>
      <c r="EP4" s="6" t="s">
        <v>23</v>
      </c>
      <c r="EQ4" s="42"/>
      <c r="ER4" s="40"/>
      <c r="EU4" s="24" t="s">
        <v>162</v>
      </c>
    </row>
    <row r="5" spans="1:151" x14ac:dyDescent="0.3">
      <c r="A5" s="45">
        <v>18.989999999999998</v>
      </c>
      <c r="B5" s="45">
        <v>21.24</v>
      </c>
      <c r="C5" s="45">
        <v>24.47</v>
      </c>
      <c r="D5" s="45">
        <v>26.3</v>
      </c>
      <c r="E5" s="45">
        <v>27.08</v>
      </c>
      <c r="F5" s="48">
        <f>A5/60</f>
        <v>0.31649999999999995</v>
      </c>
      <c r="G5" s="48">
        <f t="shared" ref="G5:J11" si="0">B5/60</f>
        <v>0.35399999999999998</v>
      </c>
      <c r="H5" s="48">
        <f t="shared" si="0"/>
        <v>0.40783333333333333</v>
      </c>
      <c r="I5" s="48">
        <f t="shared" si="0"/>
        <v>0.43833333333333335</v>
      </c>
      <c r="J5" s="48">
        <f t="shared" si="0"/>
        <v>0.45133333333333331</v>
      </c>
      <c r="K5" s="49">
        <f>5/F5</f>
        <v>15.797788309636653</v>
      </c>
      <c r="L5" s="49">
        <f t="shared" ref="L5:O11" si="1">5/G5</f>
        <v>14.124293785310735</v>
      </c>
      <c r="M5" s="49">
        <f t="shared" si="1"/>
        <v>12.259910093992644</v>
      </c>
      <c r="N5" s="49">
        <f t="shared" si="1"/>
        <v>11.406844106463877</v>
      </c>
      <c r="O5" s="49">
        <f t="shared" si="1"/>
        <v>11.078286558345644</v>
      </c>
      <c r="P5" s="50">
        <f>(100000*K5/1000000)/(8.314*$J$64)</f>
        <v>6.6172485765317811E-4</v>
      </c>
      <c r="Q5" s="50">
        <f>(100000*L5/1000000)/(8.314*$J$64)</f>
        <v>5.91626885444155E-4</v>
      </c>
      <c r="R5" s="50">
        <f>(100000*M5/1000000)/(8.314*$J$64)</f>
        <v>5.1353310367118301E-4</v>
      </c>
      <c r="S5" s="50">
        <f>(100000*N5/1000000)/(8.314*$J$64)</f>
        <v>4.7780057212296008E-4</v>
      </c>
      <c r="T5" s="51">
        <f>(100000*O5/1000000)/(8.314*$J$64)</f>
        <v>4.6403822181808913E-4</v>
      </c>
      <c r="U5" s="52">
        <f t="shared" ref="U5:U11" si="2">(H64-P5)*10^(3)/60/$B$35</f>
        <v>16.590323494940915</v>
      </c>
      <c r="V5" s="52">
        <f t="shared" ref="V5:V11" si="3">(H64-Q5)*10^(3)/60/$B$35</f>
        <v>17.399115143827757</v>
      </c>
      <c r="W5" s="52">
        <f t="shared" ref="W5:W11" si="4">(H64-R5)*10^(3)/60/$B$35</f>
        <v>18.300162585537368</v>
      </c>
      <c r="X5" s="52">
        <f t="shared" ref="X5:X11" si="5">(H64-S5)*10^(3)/60/$B$35</f>
        <v>18.712445169455947</v>
      </c>
      <c r="Y5" s="52">
        <f t="shared" ref="Y5:Y11" si="6">(H64-T5)*10^(3)/60/$B$35</f>
        <v>18.87123541181052</v>
      </c>
      <c r="Z5" s="45">
        <f t="shared" ref="Z5:Z11" si="7">_xlfn.STDEV.P(U5:Y5)</f>
        <v>0.86043777220240403</v>
      </c>
      <c r="AE5" s="45">
        <v>11.84</v>
      </c>
      <c r="AF5" s="45">
        <v>12.03</v>
      </c>
      <c r="AG5" s="45">
        <v>12.21</v>
      </c>
      <c r="AH5" s="45">
        <v>12.6</v>
      </c>
      <c r="AI5" s="45">
        <v>12.67</v>
      </c>
      <c r="AJ5" s="48">
        <f t="shared" ref="AJ5:AJ21" si="8">AE5/60</f>
        <v>0.19733333333333333</v>
      </c>
      <c r="AK5" s="48">
        <f t="shared" ref="AK5:AK21" si="9">AF5/60</f>
        <v>0.20049999999999998</v>
      </c>
      <c r="AL5" s="48">
        <f t="shared" ref="AL5:AL21" si="10">AG5/60</f>
        <v>0.20350000000000001</v>
      </c>
      <c r="AM5" s="48">
        <f t="shared" ref="AM5:AM21" si="11">AH5/60</f>
        <v>0.21</v>
      </c>
      <c r="AN5" s="48">
        <f t="shared" ref="AN5:AN21" si="12">AI5/60</f>
        <v>0.21116666666666667</v>
      </c>
      <c r="AO5" s="49">
        <f t="shared" ref="AO5:AO21" si="13">5/AJ5</f>
        <v>25.337837837837839</v>
      </c>
      <c r="AP5" s="49">
        <f t="shared" ref="AP5:AP21" si="14">5/AK5</f>
        <v>24.937655860349128</v>
      </c>
      <c r="AQ5" s="49">
        <f t="shared" ref="AQ5:AQ21" si="15">5/AL5</f>
        <v>24.570024570024568</v>
      </c>
      <c r="AR5" s="49">
        <f t="shared" ref="AR5:AR21" si="16">5/AM5</f>
        <v>23.80952380952381</v>
      </c>
      <c r="AS5" s="49">
        <f t="shared" ref="AS5:AS21" si="17">5/AN5</f>
        <v>23.677979479084453</v>
      </c>
      <c r="AT5" s="50">
        <f>(100000*AO5/1000000)/(8.314*$AP$70)</f>
        <v>1.0539896240899294E-3</v>
      </c>
      <c r="AU5" s="50">
        <f>(100000*AP5/1000000)/(8.314*$AP$70)</f>
        <v>1.0373430714235049E-3</v>
      </c>
      <c r="AV5" s="50">
        <f>(100000*AQ5/1000000)/(8.314*$AP$70)</f>
        <v>1.0220505445720526E-3</v>
      </c>
      <c r="AW5" s="50">
        <f>(100000*AR5/1000000)/(8.314*$AP$70)</f>
        <v>9.9041564676387024E-4</v>
      </c>
      <c r="AX5" s="50">
        <f>(100000*AS5/1000000)/(8.314*$AP$70)</f>
        <v>9.8494373711324116E-4</v>
      </c>
      <c r="AY5" s="52">
        <f>($AN$70-AT5)*10^(3)/60/$AF$35</f>
        <v>11.784776573898009</v>
      </c>
      <c r="AZ5" s="52">
        <f>($AN$70-AU5)*10^(3)/60/$AF$35</f>
        <v>11.976844794348272</v>
      </c>
      <c r="BA5" s="52">
        <f>($AN$70-AV5)*10^(3)/60/$AF$35</f>
        <v>12.153290240886315</v>
      </c>
      <c r="BB5" s="52">
        <f>($AN$70-AW5)*10^(3)/60/$AF$35</f>
        <v>12.518294253903305</v>
      </c>
      <c r="BC5" s="52">
        <f>($AN$70-AX5)*10^(3)/60/$AF$35</f>
        <v>12.581429244680148</v>
      </c>
      <c r="BD5" s="45">
        <f t="shared" ref="BD5:BD11" si="18">_xlfn.STDEV.P(AY5:BC5)</f>
        <v>0.30696814312868248</v>
      </c>
      <c r="BH5" s="45">
        <v>7</v>
      </c>
      <c r="BI5" s="45">
        <v>6.76</v>
      </c>
      <c r="BJ5" s="45">
        <v>6.91</v>
      </c>
      <c r="BK5" s="45">
        <v>6.79</v>
      </c>
      <c r="BL5" s="45">
        <v>6.9</v>
      </c>
      <c r="BM5" s="48">
        <f>BH5/60</f>
        <v>0.11666666666666667</v>
      </c>
      <c r="BN5" s="48">
        <f t="shared" ref="BN5:BN15" si="19">BI5/60</f>
        <v>0.11266666666666666</v>
      </c>
      <c r="BO5" s="48">
        <f t="shared" ref="BO5:BO15" si="20">BJ5/60</f>
        <v>0.11516666666666667</v>
      </c>
      <c r="BP5" s="48">
        <f t="shared" ref="BP5:BP15" si="21">BK5/60</f>
        <v>0.11316666666666667</v>
      </c>
      <c r="BQ5" s="48">
        <f t="shared" ref="BQ5:BQ15" si="22">BL5/60</f>
        <v>0.115</v>
      </c>
      <c r="BR5" s="49">
        <f t="shared" ref="BR5:BR15" si="23">5/BM5</f>
        <v>42.857142857142854</v>
      </c>
      <c r="BS5" s="49">
        <f t="shared" ref="BS5:BS15" si="24">5/BN5</f>
        <v>44.378698224852073</v>
      </c>
      <c r="BT5" s="49">
        <f t="shared" ref="BT5:BT15" si="25">5/BO5</f>
        <v>43.415340086830682</v>
      </c>
      <c r="BU5" s="49">
        <f t="shared" ref="BU5:BU15" si="26">5/BP5</f>
        <v>44.18262150220913</v>
      </c>
      <c r="BV5" s="49">
        <f t="shared" ref="BV5:BV15" si="27">5/BQ5</f>
        <v>43.478260869565219</v>
      </c>
      <c r="BW5" s="50">
        <f>(98800*BR5/1000000)/(8.314*BR70)</f>
        <v>1.6996357486772473E-3</v>
      </c>
      <c r="BX5" s="50">
        <f>(98800*BS5/1000000)/(8.314*$BR$70)</f>
        <v>1.7599778462634222E-3</v>
      </c>
      <c r="BY5" s="50">
        <f>(98800*BT5/1000000)/(8.314*$BR$70)</f>
        <v>1.7217728278930149E-3</v>
      </c>
      <c r="BZ5" s="50">
        <f>(98800*BU5/1000000)/(8.314*$BR$70)</f>
        <v>1.7522018027600491E-3</v>
      </c>
      <c r="CA5" s="50">
        <f>(98800*BV5/1000000)/(8.314*$BR$70)</f>
        <v>1.7242681508319903E-3</v>
      </c>
      <c r="CB5" s="52">
        <f>($BP$70-BW5)*10^(3)/60/$BI$35</f>
        <v>3.4930214424595243</v>
      </c>
      <c r="CC5" s="52">
        <f>($BP$70-BX5)*10^(3)/60/$BI$35</f>
        <v>2.7967932483188194</v>
      </c>
      <c r="CD5" s="52">
        <f>($BP$70-BY5)*10^(3)/60/$BI$35</f>
        <v>3.2376034291242575</v>
      </c>
      <c r="CE5" s="52">
        <f>($BP$70-BZ5)*10^(3)/60/$BI$35</f>
        <v>2.8865133764297357</v>
      </c>
      <c r="CF5" s="52">
        <f>($BP$70-CA5)*10^(3)/60/$BI$35</f>
        <v>3.2088123487160956</v>
      </c>
      <c r="CG5" s="45">
        <f t="shared" ref="CG5:CG15" si="28">_xlfn.STDEV.P(CB5:CF5)</f>
        <v>0.2528787644630775</v>
      </c>
      <c r="CJ5" s="45">
        <v>12.14</v>
      </c>
      <c r="CK5" s="45">
        <v>12.16</v>
      </c>
      <c r="CL5" s="45">
        <v>12.22</v>
      </c>
      <c r="CM5" s="45">
        <v>12.18</v>
      </c>
      <c r="CN5" s="45">
        <v>12.2</v>
      </c>
      <c r="CO5" s="48">
        <f>CJ5/60</f>
        <v>0.20233333333333334</v>
      </c>
      <c r="CP5" s="48">
        <f t="shared" ref="CP5:CP11" si="29">CK5/60</f>
        <v>0.20266666666666666</v>
      </c>
      <c r="CQ5" s="48">
        <f t="shared" ref="CQ5:CQ11" si="30">CL5/60</f>
        <v>0.20366666666666669</v>
      </c>
      <c r="CR5" s="48">
        <f t="shared" ref="CR5:CR11" si="31">CM5/60</f>
        <v>0.20299999999999999</v>
      </c>
      <c r="CS5" s="48">
        <f t="shared" ref="CS5:CS11" si="32">CN5/60</f>
        <v>0.20333333333333331</v>
      </c>
      <c r="CT5" s="49">
        <f>10/CO5</f>
        <v>49.423393739703457</v>
      </c>
      <c r="CU5" s="49">
        <f>10/CP5</f>
        <v>49.342105263157897</v>
      </c>
      <c r="CV5" s="49">
        <f>10/CQ5</f>
        <v>49.099836333878883</v>
      </c>
      <c r="CW5" s="49">
        <f>10/CR5</f>
        <v>49.26108374384237</v>
      </c>
      <c r="CX5" s="49">
        <f>10/CS5</f>
        <v>49.180327868852466</v>
      </c>
      <c r="CY5" s="50">
        <f>(98800*CT5/1000000)/(8.314*$CS$70)</f>
        <v>1.9980484889185954E-3</v>
      </c>
      <c r="CZ5" s="50">
        <f>(98800*CU5/1000000)/(8.314*$CS$70)</f>
        <v>1.9947622249565583E-3</v>
      </c>
      <c r="DA5" s="50">
        <f>(98800*CV5/1000000)/(8.314*$CS$70)</f>
        <v>1.9849679750795208E-3</v>
      </c>
      <c r="DB5" s="50">
        <f>(98800*CW5/1000000)/(8.314*$CS$70)</f>
        <v>1.9914867533228037E-3</v>
      </c>
      <c r="DC5" s="50">
        <f>(98800*CX5/1000000)/(8.314*$CS$70)</f>
        <v>1.9882220209403072E-3</v>
      </c>
      <c r="DD5" s="52">
        <f>($CQ$70-CY5)*10^(3)/60/$CK$35</f>
        <v>0.49793014319839701</v>
      </c>
      <c r="DE5" s="52">
        <f>($CQ$70-CZ5)*10^(3)/60/$CK$35</f>
        <v>0.53584711518451711</v>
      </c>
      <c r="DF5" s="52">
        <f>($CQ$70-DA5)*10^(3)/60/$CK$35</f>
        <v>0.64885334429536867</v>
      </c>
      <c r="DG5" s="52">
        <f>($CQ$70-DB5)*10^(3)/60/$CK$35</f>
        <v>0.57363956509515157</v>
      </c>
      <c r="DH5" s="52">
        <f>($CQ$70-DC5)*10^(3)/60/$CK$35</f>
        <v>0.61130810533394753</v>
      </c>
      <c r="DI5" s="45">
        <f t="shared" ref="DI5:DI11" si="33">_xlfn.STDEV.P(DD5:DH5)</f>
        <v>5.3359423854576919E-2</v>
      </c>
      <c r="DV5" s="45">
        <v>12.08</v>
      </c>
      <c r="DW5" s="45">
        <v>12</v>
      </c>
      <c r="DX5" s="45">
        <v>12.08</v>
      </c>
      <c r="DY5" s="45">
        <v>12.08</v>
      </c>
      <c r="DZ5" s="45">
        <v>12.13</v>
      </c>
      <c r="EA5" s="48">
        <f>DV5/60</f>
        <v>0.20133333333333334</v>
      </c>
      <c r="EB5" s="48">
        <f t="shared" ref="EB5:EB11" si="34">DW5/60</f>
        <v>0.2</v>
      </c>
      <c r="EC5" s="48">
        <f t="shared" ref="EC5:EC11" si="35">DX5/60</f>
        <v>0.20133333333333334</v>
      </c>
      <c r="ED5" s="48">
        <f t="shared" ref="ED5:ED11" si="36">DY5/60</f>
        <v>0.20133333333333334</v>
      </c>
      <c r="EE5" s="48">
        <f t="shared" ref="EE5:EE11" si="37">DZ5/60</f>
        <v>0.20216666666666669</v>
      </c>
      <c r="EF5" s="49">
        <f>10/EA5</f>
        <v>49.668874172185433</v>
      </c>
      <c r="EG5" s="49">
        <f t="shared" ref="EG5:EG11" si="38">10/EB5</f>
        <v>50</v>
      </c>
      <c r="EH5" s="49">
        <f t="shared" ref="EH5:EH11" si="39">10/EC5</f>
        <v>49.668874172185433</v>
      </c>
      <c r="EI5" s="49">
        <f t="shared" ref="EI5:EI11" si="40">10/ED5</f>
        <v>49.668874172185433</v>
      </c>
      <c r="EJ5" s="49">
        <f t="shared" ref="EJ5:EJ11" si="41">10/EE5</f>
        <v>49.46413849958779</v>
      </c>
      <c r="EK5" s="50">
        <f>(99350*EF5/1000000)/(8.314*$EE$70)</f>
        <v>2.0295069443337804E-3</v>
      </c>
      <c r="EL5" s="50">
        <f>(99350*EG5/1000000)/(8.314*$EE$70)</f>
        <v>2.0430369906293392E-3</v>
      </c>
      <c r="EM5" s="50">
        <f>(99350*EH5/1000000)/(8.314*$EE$70)</f>
        <v>2.0295069443337804E-3</v>
      </c>
      <c r="EN5" s="50">
        <f>(99350*EI5/1000000)/(8.314*$EE$70)</f>
        <v>2.0295069443337804E-3</v>
      </c>
      <c r="EO5" s="50">
        <f>(99350*EJ5/1000000)/(8.314*$EE$70)</f>
        <v>2.0211412932854131E-3</v>
      </c>
      <c r="EP5" s="52">
        <f>($EC$70-EK5)*10^(3)/60/$DW$35</f>
        <v>0.38753793658392988</v>
      </c>
      <c r="EQ5" s="52">
        <f>($EC$70-EL5)*10^(3)/60/$DW$35</f>
        <v>0.23142802201650356</v>
      </c>
      <c r="ER5" s="52">
        <f>($EC$70-EM5)*10^(3)/60/$DW$35</f>
        <v>0.38753793658392988</v>
      </c>
      <c r="ES5" s="52">
        <f>($EC$70-EN5)*10^(3)/60/$DW$35</f>
        <v>0.38753793658392988</v>
      </c>
      <c r="ET5" s="52">
        <f>($EC$70-EO5)*10^(3)/60/$DW$35</f>
        <v>0.48406096702545898</v>
      </c>
      <c r="EU5" s="45">
        <f t="shared" ref="EU5:EU11" si="42">_xlfn.STDEV.P(EP5:ET5)</f>
        <v>8.1211922129572456E-2</v>
      </c>
    </row>
    <row r="6" spans="1:151" x14ac:dyDescent="0.3">
      <c r="A6" s="45">
        <v>19.27</v>
      </c>
      <c r="B6" s="47">
        <v>18.579999999999998</v>
      </c>
      <c r="C6" s="45">
        <v>18.25</v>
      </c>
      <c r="D6" s="45">
        <v>17.760000000000002</v>
      </c>
      <c r="E6" s="45">
        <v>17.46</v>
      </c>
      <c r="F6" s="48">
        <f t="shared" ref="F6:F11" si="43">A6/60</f>
        <v>0.32116666666666666</v>
      </c>
      <c r="G6" s="48">
        <f t="shared" si="0"/>
        <v>0.30966666666666665</v>
      </c>
      <c r="H6" s="48">
        <f t="shared" si="0"/>
        <v>0.30416666666666664</v>
      </c>
      <c r="I6" s="48">
        <f t="shared" si="0"/>
        <v>0.29600000000000004</v>
      </c>
      <c r="J6" s="48">
        <f t="shared" si="0"/>
        <v>0.29100000000000004</v>
      </c>
      <c r="K6" s="49">
        <f t="shared" ref="K6:K11" si="44">5/F6</f>
        <v>15.568240788790867</v>
      </c>
      <c r="L6" s="49">
        <f t="shared" si="1"/>
        <v>16.14639397201292</v>
      </c>
      <c r="M6" s="49">
        <f t="shared" si="1"/>
        <v>16.438356164383563</v>
      </c>
      <c r="N6" s="49">
        <f t="shared" si="1"/>
        <v>16.891891891891891</v>
      </c>
      <c r="O6" s="49">
        <f t="shared" si="1"/>
        <v>17.182130584192439</v>
      </c>
      <c r="P6" s="51">
        <f>(100000*K6/1000000)/(8.314*$J$65)</f>
        <v>6.4536728299605258E-4</v>
      </c>
      <c r="Q6" s="51">
        <f>(100000*L6/1000000)/(8.314*$J$65)</f>
        <v>6.6933409813422682E-4</v>
      </c>
      <c r="R6" s="51">
        <f>(100000*M6/1000000)/(8.314*$J$65)</f>
        <v>6.8143712566213327E-4</v>
      </c>
      <c r="S6" s="51">
        <f>(100000*N6/1000000)/(8.314*$J$65)</f>
        <v>7.0023803734988344E-4</v>
      </c>
      <c r="T6" s="51">
        <f>(100000*O6/1000000)/(8.314*$J$65)</f>
        <v>7.1226961874764781E-4</v>
      </c>
      <c r="U6" s="52">
        <f t="shared" si="2"/>
        <v>16.528580315067032</v>
      </c>
      <c r="V6" s="52">
        <f t="shared" si="3"/>
        <v>16.252050776147286</v>
      </c>
      <c r="W6" s="52">
        <f t="shared" si="4"/>
        <v>16.11240582947708</v>
      </c>
      <c r="X6" s="52">
        <f t="shared" si="5"/>
        <v>15.895480576358933</v>
      </c>
      <c r="Y6" s="52">
        <f t="shared" si="6"/>
        <v>15.7566599764078</v>
      </c>
      <c r="Z6" s="45">
        <f t="shared" si="7"/>
        <v>0.27064988277112456</v>
      </c>
      <c r="AE6" s="45">
        <v>12.09</v>
      </c>
      <c r="AF6" s="47">
        <v>12.01</v>
      </c>
      <c r="AG6" s="45">
        <v>11.76</v>
      </c>
      <c r="AH6" s="45">
        <v>11.87</v>
      </c>
      <c r="AI6" s="45">
        <v>11.84</v>
      </c>
      <c r="AJ6" s="48">
        <f t="shared" si="8"/>
        <v>0.20149999999999998</v>
      </c>
      <c r="AK6" s="48">
        <f t="shared" si="9"/>
        <v>0.20016666666666666</v>
      </c>
      <c r="AL6" s="48">
        <f t="shared" si="10"/>
        <v>0.19600000000000001</v>
      </c>
      <c r="AM6" s="48">
        <f t="shared" si="11"/>
        <v>0.19783333333333333</v>
      </c>
      <c r="AN6" s="48">
        <f t="shared" si="12"/>
        <v>0.19733333333333333</v>
      </c>
      <c r="AO6" s="49">
        <f t="shared" si="13"/>
        <v>24.813895781637719</v>
      </c>
      <c r="AP6" s="49">
        <f t="shared" si="14"/>
        <v>24.979184013322232</v>
      </c>
      <c r="AQ6" s="49">
        <f t="shared" si="15"/>
        <v>25.510204081632651</v>
      </c>
      <c r="AR6" s="49">
        <f t="shared" si="16"/>
        <v>25.27379949452401</v>
      </c>
      <c r="AS6" s="49">
        <f t="shared" si="17"/>
        <v>25.337837837837839</v>
      </c>
      <c r="AT6" s="51">
        <f>(100000*AO6/1000000)/(8.314*$AP$71)</f>
        <v>1.0300575484551344E-3</v>
      </c>
      <c r="AU6" s="51">
        <f>(100000*AP6/1000000)/(8.314*$AP$71)</f>
        <v>1.0369188810010468E-3</v>
      </c>
      <c r="AV6" s="51">
        <f>(100000*AQ6/1000000)/(8.314*$AP$71)</f>
        <v>1.0589622245597424E-3</v>
      </c>
      <c r="AW6" s="51">
        <f>(100000*AR6/1000000)/(8.314*$AP$71)</f>
        <v>1.0491487582832834E-3</v>
      </c>
      <c r="AX6" s="51">
        <f>(100000*AS6/1000000)/(8.314*$AP$71)</f>
        <v>1.0518070743937983E-3</v>
      </c>
      <c r="AY6" s="52">
        <f>($AN$71-AT6)*10^(3)/60/$AF$35</f>
        <v>12.011319656919349</v>
      </c>
      <c r="AZ6" s="52">
        <f>($AN$71-AU6)*10^(3)/60/$AF$35</f>
        <v>11.932153480088701</v>
      </c>
      <c r="BA6" s="52">
        <f>($AN$71-AV6)*10^(3)/60/$AF$35</f>
        <v>11.677816990430276</v>
      </c>
      <c r="BB6" s="52">
        <f>($AN$71-AW6)*10^(3)/60/$AF$35</f>
        <v>11.7910449386991</v>
      </c>
      <c r="BC6" s="52">
        <f>($AN$71-AX6)*10^(3)/60/$AF$35</f>
        <v>11.760373240181565</v>
      </c>
      <c r="BD6" s="45">
        <f t="shared" si="18"/>
        <v>0.12061017281297398</v>
      </c>
      <c r="BH6" s="45">
        <v>6.93</v>
      </c>
      <c r="BI6" s="47">
        <v>6.84</v>
      </c>
      <c r="BJ6" s="45">
        <v>6.84</v>
      </c>
      <c r="BK6" s="45">
        <v>6.84</v>
      </c>
      <c r="BL6" s="45">
        <v>6.86</v>
      </c>
      <c r="BM6" s="48">
        <f t="shared" ref="BM6:BM15" si="45">BH6/60</f>
        <v>0.11549999999999999</v>
      </c>
      <c r="BN6" s="48">
        <f t="shared" si="19"/>
        <v>0.114</v>
      </c>
      <c r="BO6" s="48">
        <f t="shared" si="20"/>
        <v>0.114</v>
      </c>
      <c r="BP6" s="48">
        <f t="shared" si="21"/>
        <v>0.114</v>
      </c>
      <c r="BQ6" s="48">
        <f t="shared" si="22"/>
        <v>0.11433333333333334</v>
      </c>
      <c r="BR6" s="49">
        <f t="shared" si="23"/>
        <v>43.290043290043293</v>
      </c>
      <c r="BS6" s="49">
        <f t="shared" si="24"/>
        <v>43.859649122807014</v>
      </c>
      <c r="BT6" s="49">
        <f t="shared" si="25"/>
        <v>43.859649122807014</v>
      </c>
      <c r="BU6" s="49">
        <f t="shared" si="26"/>
        <v>43.859649122807014</v>
      </c>
      <c r="BV6" s="49">
        <f t="shared" si="27"/>
        <v>43.731778425655975</v>
      </c>
      <c r="BW6" s="50">
        <f>(98800*BR6/1000000)/(8.314*$BR$71)</f>
        <v>1.7168037865426743E-3</v>
      </c>
      <c r="BX6" s="50">
        <f>(98800*BS6/1000000)/(8.314*$BR$71)</f>
        <v>1.7393933100498145E-3</v>
      </c>
      <c r="BY6" s="50">
        <f>(98800*BT6/1000000)/(8.314*$BR$71)</f>
        <v>1.7393933100498145E-3</v>
      </c>
      <c r="BZ6" s="50">
        <f>(98800*BU6/1000000)/(8.314*$BR$71)</f>
        <v>1.7393933100498145E-3</v>
      </c>
      <c r="CA6" s="50">
        <f>(98800*BV6/1000000)/(8.314*$BR$71)</f>
        <v>1.7343221925278033E-3</v>
      </c>
      <c r="CB6" s="52">
        <f>($BP$71-BW6)*10^(3)/60/$BI$35</f>
        <v>3.2949363165171333</v>
      </c>
      <c r="CC6" s="52">
        <f>($BP$71-BX6)*10^(3)/60/$BI$35</f>
        <v>3.0342979929087313</v>
      </c>
      <c r="CD6" s="52">
        <f>($BP$71-BY6)*10^(3)/60/$BI$35</f>
        <v>3.0342979929087313</v>
      </c>
      <c r="CE6" s="52">
        <f>($BP$71-BZ6)*10^(3)/60/$BI$35</f>
        <v>3.0342979929087313</v>
      </c>
      <c r="CF6" s="52">
        <f>($BP$71-CA6)*10^(3)/60/$BI$35</f>
        <v>3.0928086369840884</v>
      </c>
      <c r="CG6" s="45">
        <f t="shared" si="28"/>
        <v>0.10097981826958236</v>
      </c>
      <c r="CJ6" s="45">
        <v>12.16</v>
      </c>
      <c r="CK6" s="47">
        <v>12.09</v>
      </c>
      <c r="CL6" s="45">
        <v>12.15</v>
      </c>
      <c r="CM6" s="45">
        <v>12.09</v>
      </c>
      <c r="CN6" s="45">
        <v>12.15</v>
      </c>
      <c r="CO6" s="48">
        <f t="shared" ref="CO6:CO11" si="46">CJ6/60</f>
        <v>0.20266666666666666</v>
      </c>
      <c r="CP6" s="48">
        <f t="shared" si="29"/>
        <v>0.20149999999999998</v>
      </c>
      <c r="CQ6" s="48">
        <f t="shared" si="30"/>
        <v>0.20250000000000001</v>
      </c>
      <c r="CR6" s="48">
        <f t="shared" si="31"/>
        <v>0.20149999999999998</v>
      </c>
      <c r="CS6" s="48">
        <f t="shared" si="32"/>
        <v>0.20250000000000001</v>
      </c>
      <c r="CT6" s="49">
        <f t="shared" ref="CT6:CT11" si="47">10/CO6</f>
        <v>49.342105263157897</v>
      </c>
      <c r="CU6" s="49">
        <f t="shared" ref="CU6:CU11" si="48">10/CP6</f>
        <v>49.627791563275437</v>
      </c>
      <c r="CV6" s="49">
        <f t="shared" ref="CV6:CV11" si="49">10/CQ6</f>
        <v>49.382716049382715</v>
      </c>
      <c r="CW6" s="49">
        <f t="shared" ref="CW6:CW11" si="50">10/CR6</f>
        <v>49.627791563275437</v>
      </c>
      <c r="CX6" s="49">
        <f t="shared" ref="CX6:CX11" si="51">10/CS6</f>
        <v>49.382716049382715</v>
      </c>
      <c r="CY6" s="50">
        <f>(98800*CT6/1000000)/(8.314*$CS$71)</f>
        <v>1.9853067751006612E-3</v>
      </c>
      <c r="CZ6" s="50">
        <f>(98800*CU6/1000000)/(8.314*$CS$71)</f>
        <v>1.9968015206967777E-3</v>
      </c>
      <c r="DA6" s="50">
        <f>(98800*CV6/1000000)/(8.314*$CS$71)</f>
        <v>1.9869407724464232E-3</v>
      </c>
      <c r="DB6" s="50">
        <f>(98800*CW6/1000000)/(8.314*$CS$71)</f>
        <v>1.9968015206967777E-3</v>
      </c>
      <c r="DC6" s="50">
        <f>(98800*CX6/1000000)/(8.314*$CS$71)</f>
        <v>1.9869407724464232E-3</v>
      </c>
      <c r="DD6" s="52">
        <f>($CQ$71-CY6)*10^(3)/60/$BI$35</f>
        <v>0.53330712547313031</v>
      </c>
      <c r="DE6" s="52">
        <f>($CQ$71-CZ6)*10^(3)/60/$BI$35</f>
        <v>0.40068054654020718</v>
      </c>
      <c r="DF6" s="52">
        <f>($CQ$71-DA6)*10^(3)/60/$BI$35</f>
        <v>0.51445403506396925</v>
      </c>
      <c r="DG6" s="52">
        <f>($CQ$71-DB6)*10^(3)/60/$BI$35</f>
        <v>0.40068054654020718</v>
      </c>
      <c r="DH6" s="52">
        <f>($CQ$71-DC6)*10^(3)/60/$BI$35</f>
        <v>0.51445403506396925</v>
      </c>
      <c r="DI6" s="45">
        <f t="shared" si="33"/>
        <v>5.921760673256557E-2</v>
      </c>
      <c r="DV6" s="45">
        <v>12.02</v>
      </c>
      <c r="DW6" s="47">
        <v>12.01</v>
      </c>
      <c r="DX6" s="45">
        <v>12.01</v>
      </c>
      <c r="DY6" s="45">
        <v>12.08</v>
      </c>
      <c r="DZ6" s="45">
        <v>12.09</v>
      </c>
      <c r="EA6" s="48">
        <f t="shared" ref="EA6:EA11" si="52">DV6/60</f>
        <v>0.20033333333333334</v>
      </c>
      <c r="EB6" s="48">
        <f t="shared" si="34"/>
        <v>0.20016666666666666</v>
      </c>
      <c r="EC6" s="48">
        <f t="shared" si="35"/>
        <v>0.20016666666666666</v>
      </c>
      <c r="ED6" s="48">
        <f t="shared" si="36"/>
        <v>0.20133333333333334</v>
      </c>
      <c r="EE6" s="48">
        <f t="shared" si="37"/>
        <v>0.20149999999999998</v>
      </c>
      <c r="EF6" s="49">
        <f t="shared" ref="EF6:EF11" si="53">10/EA6</f>
        <v>49.916805324459233</v>
      </c>
      <c r="EG6" s="49">
        <f t="shared" si="38"/>
        <v>49.958368026644465</v>
      </c>
      <c r="EH6" s="49">
        <f t="shared" si="39"/>
        <v>49.958368026644465</v>
      </c>
      <c r="EI6" s="49">
        <f t="shared" si="40"/>
        <v>49.668874172185433</v>
      </c>
      <c r="EJ6" s="49">
        <f t="shared" si="41"/>
        <v>49.627791563275437</v>
      </c>
      <c r="EK6" s="50">
        <f>(99350*EF6/1000000)/(8.314*$EE$71)</f>
        <v>2.0313026206434993E-3</v>
      </c>
      <c r="EL6" s="50">
        <f>(99350*EG6/1000000)/(8.314*$EE$71)</f>
        <v>2.0329939633750931E-3</v>
      </c>
      <c r="EM6" s="50">
        <f>(99350*EH6/1000000)/(8.314*$EE$71)</f>
        <v>2.0329939633750931E-3</v>
      </c>
      <c r="EN6" s="50">
        <f>(99350*EI6/1000000)/(8.314*$EE$71)</f>
        <v>2.0212133692164621E-3</v>
      </c>
      <c r="EO6" s="50">
        <f>(99350*EJ6/1000000)/(8.314*$EE$71)</f>
        <v>2.0195415632865894E-3</v>
      </c>
      <c r="EP6" s="52">
        <f>($EC$71-EK6)*10^(3)/60/$DW$35</f>
        <v>0.26954430152638298</v>
      </c>
      <c r="EQ6" s="52">
        <f>($EC$71-EL6)*10^(3)/60/$DW$35</f>
        <v>0.25002955903655005</v>
      </c>
      <c r="ER6" s="52">
        <f>($EC$71-EM6)*10^(3)/60/$DW$35</f>
        <v>0.25002955903655005</v>
      </c>
      <c r="ES6" s="52">
        <f>($EC$71-EN6)*10^(3)/60/$DW$35</f>
        <v>0.38595426376287989</v>
      </c>
      <c r="ET6" s="52">
        <f>($EC$71-EO6)*10^(3)/60/$DW$35</f>
        <v>0.40524359028731427</v>
      </c>
      <c r="EU6" s="45">
        <f t="shared" si="42"/>
        <v>6.87700942122043E-2</v>
      </c>
    </row>
    <row r="7" spans="1:151" x14ac:dyDescent="0.3">
      <c r="A7" s="45">
        <v>12.93</v>
      </c>
      <c r="B7" s="47">
        <v>12.85</v>
      </c>
      <c r="C7" s="45">
        <v>12.63</v>
      </c>
      <c r="D7" s="45">
        <v>12.7</v>
      </c>
      <c r="E7" s="45">
        <v>12.71</v>
      </c>
      <c r="F7" s="48">
        <f t="shared" si="43"/>
        <v>0.2155</v>
      </c>
      <c r="G7" s="48">
        <f t="shared" si="0"/>
        <v>0.21416666666666667</v>
      </c>
      <c r="H7" s="48">
        <f t="shared" si="0"/>
        <v>0.21050000000000002</v>
      </c>
      <c r="I7" s="48">
        <f t="shared" si="0"/>
        <v>0.21166666666666664</v>
      </c>
      <c r="J7" s="48">
        <f t="shared" si="0"/>
        <v>0.21183333333333335</v>
      </c>
      <c r="K7" s="49">
        <f t="shared" si="44"/>
        <v>23.201856148491881</v>
      </c>
      <c r="L7" s="49">
        <f t="shared" si="1"/>
        <v>23.346303501945524</v>
      </c>
      <c r="M7" s="49">
        <f t="shared" si="1"/>
        <v>23.75296912114014</v>
      </c>
      <c r="N7" s="49">
        <f t="shared" si="1"/>
        <v>23.622047244094492</v>
      </c>
      <c r="O7" s="49">
        <f t="shared" si="1"/>
        <v>23.603461841070022</v>
      </c>
      <c r="P7" s="51">
        <f>(100000*K7/1000000)/(8.314*$J$66)</f>
        <v>9.5850838235244176E-4</v>
      </c>
      <c r="Q7" s="51">
        <f>(100000*L7/1000000)/(8.314*$J$66)</f>
        <v>9.6447574971339066E-4</v>
      </c>
      <c r="R7" s="51">
        <f>(100000*M7/1000000)/(8.314*$J$66)</f>
        <v>9.8127580236081298E-4</v>
      </c>
      <c r="S7" s="51">
        <f>(100000*N7/1000000)/(8.314*$J$66)</f>
        <v>9.7586719557614767E-4</v>
      </c>
      <c r="T7" s="51">
        <f>(100000*O7/1000000)/(8.314*$J$66)</f>
        <v>9.7509940077238955E-4</v>
      </c>
      <c r="U7" s="52">
        <f t="shared" si="2"/>
        <v>12.833207428088516</v>
      </c>
      <c r="V7" s="52">
        <f t="shared" si="3"/>
        <v>12.764355837446438</v>
      </c>
      <c r="W7" s="52">
        <f t="shared" si="4"/>
        <v>12.570516531487948</v>
      </c>
      <c r="X7" s="52">
        <f t="shared" si="5"/>
        <v>12.632921132672502</v>
      </c>
      <c r="Y7" s="52">
        <f t="shared" si="6"/>
        <v>12.641779962760861</v>
      </c>
      <c r="Z7" s="45">
        <f t="shared" si="7"/>
        <v>9.5797915691049715E-2</v>
      </c>
      <c r="AE7" s="45">
        <v>10.029999999999999</v>
      </c>
      <c r="AF7" s="47">
        <v>9.9700000000000006</v>
      </c>
      <c r="AG7" s="45">
        <v>9.93</v>
      </c>
      <c r="AH7" s="45">
        <v>9.7799999999999994</v>
      </c>
      <c r="AI7" s="45">
        <v>9.9</v>
      </c>
      <c r="AJ7" s="48">
        <f t="shared" si="8"/>
        <v>0.16716666666666666</v>
      </c>
      <c r="AK7" s="48">
        <f t="shared" si="9"/>
        <v>0.16616666666666668</v>
      </c>
      <c r="AL7" s="48">
        <f t="shared" si="10"/>
        <v>0.16550000000000001</v>
      </c>
      <c r="AM7" s="48">
        <f t="shared" si="11"/>
        <v>0.16299999999999998</v>
      </c>
      <c r="AN7" s="48">
        <f t="shared" si="12"/>
        <v>0.16500000000000001</v>
      </c>
      <c r="AO7" s="49">
        <f t="shared" si="13"/>
        <v>29.910269192422735</v>
      </c>
      <c r="AP7" s="49">
        <f t="shared" si="14"/>
        <v>30.090270812437307</v>
      </c>
      <c r="AQ7" s="49">
        <f t="shared" si="15"/>
        <v>30.211480362537763</v>
      </c>
      <c r="AR7" s="49">
        <f t="shared" si="16"/>
        <v>30.674846625766875</v>
      </c>
      <c r="AS7" s="49">
        <f t="shared" si="17"/>
        <v>30.303030303030301</v>
      </c>
      <c r="AT7" s="51">
        <f>(100000*AO7/1000000)/(8.314*$AP$72)</f>
        <v>1.239048970429281E-3</v>
      </c>
      <c r="AU7" s="51">
        <f>(100000*AP7/1000000)/(8.314*$AP$72)</f>
        <v>1.2465056342432983E-3</v>
      </c>
      <c r="AV7" s="51">
        <f>(100000*AQ7/1000000)/(8.314*$AP$72)</f>
        <v>1.2515268049753964E-3</v>
      </c>
      <c r="AW7" s="51">
        <f>(100000*AR7/1000000)/(8.314*$AP$72)</f>
        <v>1.2707220013707247E-3</v>
      </c>
      <c r="AX7" s="51">
        <f>(100000*AS7/1000000)/(8.314*$AP$72)</f>
        <v>1.2553193104450186E-3</v>
      </c>
      <c r="AY7" s="52">
        <f>($AN$72-AT7)*10^(3)/60/$AF$35</f>
        <v>9.5505922204026152</v>
      </c>
      <c r="AZ7" s="52">
        <f>($AN$72-AU7)*10^(3)/60/$AF$35</f>
        <v>9.4645571008223985</v>
      </c>
      <c r="BA7" s="52">
        <f>($AN$72-AV7)*10^(3)/60/$AF$35</f>
        <v>9.4066227436965395</v>
      </c>
      <c r="BB7" s="52">
        <f>($AN$72-AW7)*10^(3)/60/$AF$35</f>
        <v>9.1851482266164872</v>
      </c>
      <c r="BC7" s="52">
        <f>($AN$72-AX7)*10^(3)/60/$AF$35</f>
        <v>9.3628647482007263</v>
      </c>
      <c r="BD7" s="45">
        <f t="shared" si="18"/>
        <v>0.12185829437011782</v>
      </c>
      <c r="BH7" s="45">
        <v>6.71</v>
      </c>
      <c r="BI7" s="47">
        <v>6.58</v>
      </c>
      <c r="BJ7" s="45">
        <v>6.62</v>
      </c>
      <c r="BK7" s="45">
        <v>6.66</v>
      </c>
      <c r="BL7" s="45">
        <v>6.61</v>
      </c>
      <c r="BM7" s="48">
        <f t="shared" si="45"/>
        <v>0.11183333333333333</v>
      </c>
      <c r="BN7" s="48">
        <f t="shared" si="19"/>
        <v>0.10966666666666666</v>
      </c>
      <c r="BO7" s="48">
        <f t="shared" si="20"/>
        <v>0.11033333333333334</v>
      </c>
      <c r="BP7" s="48">
        <f t="shared" si="21"/>
        <v>0.111</v>
      </c>
      <c r="BQ7" s="48">
        <f t="shared" si="22"/>
        <v>0.11016666666666668</v>
      </c>
      <c r="BR7" s="49">
        <f t="shared" si="23"/>
        <v>44.709388971684056</v>
      </c>
      <c r="BS7" s="49">
        <f t="shared" si="24"/>
        <v>45.592705167173257</v>
      </c>
      <c r="BT7" s="49">
        <f t="shared" si="25"/>
        <v>45.317220543806641</v>
      </c>
      <c r="BU7" s="49">
        <f t="shared" si="26"/>
        <v>45.045045045045043</v>
      </c>
      <c r="BV7" s="49">
        <f t="shared" si="27"/>
        <v>45.385779122541599</v>
      </c>
      <c r="BW7" s="50">
        <f>(98800*BR7/1000000)/(8.314*$BR$72)</f>
        <v>1.770728705989618E-3</v>
      </c>
      <c r="BX7" s="50">
        <f>(98800*BS7/1000000)/(8.314*$BR$72)</f>
        <v>1.8057127077796865E-3</v>
      </c>
      <c r="BY7" s="50">
        <f>(98800*BT7/1000000)/(8.314*$BR$72)</f>
        <v>1.7948020569773918E-3</v>
      </c>
      <c r="BZ7" s="50">
        <f>(98800*BU7/1000000)/(8.314*$BR$72)</f>
        <v>1.7840224650435938E-3</v>
      </c>
      <c r="CA7" s="50">
        <f>(98800*BV7/1000000)/(8.314*$BR$72)</f>
        <v>1.7975173399682805E-3</v>
      </c>
      <c r="CB7" s="52">
        <f>($BP$72-BW7)*10^(3)/60/$BI$35</f>
        <v>2.641950172467356</v>
      </c>
      <c r="CC7" s="52">
        <f>($BP$72-BX7)*10^(3)/60/$BI$35</f>
        <v>2.2383041381986519</v>
      </c>
      <c r="CD7" s="52">
        <f>($BP$72-BY7)*10^(3)/60/$BI$35</f>
        <v>2.3641914210219439</v>
      </c>
      <c r="CE7" s="52">
        <f>($BP$72-BZ7)*10^(3)/60/$BI$35</f>
        <v>2.4885665442917952</v>
      </c>
      <c r="CF7" s="52">
        <f>($BP$72-CA7)*10^(3)/60/$BI$35</f>
        <v>2.332862437626436</v>
      </c>
      <c r="CG7" s="45">
        <f t="shared" si="28"/>
        <v>0.13960750802145783</v>
      </c>
      <c r="CJ7" s="45">
        <v>11.97</v>
      </c>
      <c r="CK7" s="47">
        <v>11.93</v>
      </c>
      <c r="CL7" s="45">
        <v>11.96</v>
      </c>
      <c r="CM7" s="45">
        <v>11.99</v>
      </c>
      <c r="CN7" s="45">
        <v>11.98</v>
      </c>
      <c r="CO7" s="48">
        <f t="shared" si="46"/>
        <v>0.19950000000000001</v>
      </c>
      <c r="CP7" s="48">
        <f t="shared" si="29"/>
        <v>0.19883333333333333</v>
      </c>
      <c r="CQ7" s="48">
        <f t="shared" si="30"/>
        <v>0.19933333333333333</v>
      </c>
      <c r="CR7" s="48">
        <f t="shared" si="31"/>
        <v>0.19983333333333334</v>
      </c>
      <c r="CS7" s="48">
        <f t="shared" si="32"/>
        <v>0.19966666666666669</v>
      </c>
      <c r="CT7" s="49">
        <f t="shared" si="47"/>
        <v>50.125313283208015</v>
      </c>
      <c r="CU7" s="49">
        <f t="shared" si="48"/>
        <v>50.293378038558259</v>
      </c>
      <c r="CV7" s="49">
        <f t="shared" si="49"/>
        <v>50.167224080267559</v>
      </c>
      <c r="CW7" s="49">
        <f t="shared" si="50"/>
        <v>50.041701417848209</v>
      </c>
      <c r="CX7" s="49">
        <f t="shared" si="51"/>
        <v>50.083472454090142</v>
      </c>
      <c r="CY7" s="50">
        <f>(98800*CT7/1000000)/(8.314*$CS$72)</f>
        <v>2.0147730873143507E-3</v>
      </c>
      <c r="CZ7" s="50">
        <f>(98800*CU7/1000000)/(8.314*$CS$72)</f>
        <v>2.0215284036171656E-3</v>
      </c>
      <c r="DA7" s="50">
        <f>(98800*CV7/1000000)/(8.314*$CS$72)</f>
        <v>2.0164576801967211E-3</v>
      </c>
      <c r="DB7" s="50">
        <f>(98800*CW7/1000000)/(8.314*$CS$72)</f>
        <v>2.0114123315390147E-3</v>
      </c>
      <c r="DC7" s="50">
        <f>(98800*CX7/1000000)/(8.314*$CS$72)</f>
        <v>2.0130913067740214E-3</v>
      </c>
      <c r="DD7" s="52">
        <f>($CQ$72-CY7)*10^(3)/60/$BI$35</f>
        <v>0.16953960160073989</v>
      </c>
      <c r="DE7" s="52">
        <f>($CQ$72-CZ7)*10^(3)/60/$BI$35</f>
        <v>9.1596642066704093E-2</v>
      </c>
      <c r="DF7" s="52">
        <f>($CQ$72-DA7)*10^(3)/60/$BI$35</f>
        <v>0.15010273899118148</v>
      </c>
      <c r="DG7" s="52">
        <f>($CQ$72-DB7)*10^(3)/60/$BI$35</f>
        <v>0.20831606145231452</v>
      </c>
      <c r="DH7" s="52">
        <f>($CQ$72-DC7)*10^(3)/60/$BI$35</f>
        <v>0.18894401535785685</v>
      </c>
      <c r="DI7" s="45">
        <f t="shared" si="33"/>
        <v>4.0064273780157242E-2</v>
      </c>
      <c r="DV7" s="45">
        <v>12.06</v>
      </c>
      <c r="DW7" s="47">
        <v>11.95</v>
      </c>
      <c r="DX7" s="45">
        <v>11.9</v>
      </c>
      <c r="DY7" s="45">
        <v>12.03</v>
      </c>
      <c r="DZ7" s="45">
        <v>12.02</v>
      </c>
      <c r="EA7" s="48">
        <f t="shared" si="52"/>
        <v>0.20100000000000001</v>
      </c>
      <c r="EB7" s="48">
        <f t="shared" si="34"/>
        <v>0.19916666666666666</v>
      </c>
      <c r="EC7" s="48">
        <f t="shared" si="35"/>
        <v>0.19833333333333333</v>
      </c>
      <c r="ED7" s="48">
        <f t="shared" si="36"/>
        <v>0.20049999999999998</v>
      </c>
      <c r="EE7" s="48">
        <f t="shared" si="37"/>
        <v>0.20033333333333334</v>
      </c>
      <c r="EF7" s="49">
        <f t="shared" si="53"/>
        <v>49.751243781094523</v>
      </c>
      <c r="EG7" s="49">
        <f t="shared" si="38"/>
        <v>50.209205020920507</v>
      </c>
      <c r="EH7" s="49">
        <f t="shared" si="39"/>
        <v>50.420168067226889</v>
      </c>
      <c r="EI7" s="49">
        <f t="shared" si="40"/>
        <v>49.875311720698257</v>
      </c>
      <c r="EJ7" s="49">
        <f t="shared" si="41"/>
        <v>49.916805324459233</v>
      </c>
      <c r="EK7" s="50">
        <f>(99350*EF7/1000000)/(8.314*$EE$72)</f>
        <v>2.0238760847999999E-3</v>
      </c>
      <c r="EL7" s="50">
        <f>(99350*EG7/1000000)/(8.314*$EE$72)</f>
        <v>2.0425059065010886E-3</v>
      </c>
      <c r="EM7" s="50">
        <f>(99350*EH7/1000000)/(8.314*$EE$72)</f>
        <v>2.0510878640914287E-3</v>
      </c>
      <c r="EN7" s="50">
        <f>(99350*EI7/1000000)/(8.314*$EE$72)</f>
        <v>2.0289231573306738E-3</v>
      </c>
      <c r="EO7" s="50">
        <f>(99350*EJ7/1000000)/(8.314*$EE$72)</f>
        <v>2.0306111133683862E-3</v>
      </c>
      <c r="EP7" s="52">
        <f>($EC$72-EK7)*10^(3)/60/$DW$35</f>
        <v>0.34716142105787789</v>
      </c>
      <c r="EQ7" s="52">
        <f>($EC$72-EL7)*10^(3)/60/$DW$35</f>
        <v>0.13221020724584692</v>
      </c>
      <c r="ER7" s="52">
        <f>($EC$72-EM7)*10^(3)/60/$DW$35</f>
        <v>3.3191428079583536E-2</v>
      </c>
      <c r="ES7" s="52">
        <f>($EC$72-EN7)*10^(3)/60/$DW$35</f>
        <v>0.28892820851981454</v>
      </c>
      <c r="ET7" s="52">
        <f>($EC$72-EO7)*10^(3)/60/$DW$35</f>
        <v>0.26945254176416295</v>
      </c>
      <c r="EU7" s="45">
        <f t="shared" si="42"/>
        <v>0.11471906258570212</v>
      </c>
    </row>
    <row r="8" spans="1:151" x14ac:dyDescent="0.3">
      <c r="A8" s="45">
        <v>9.61</v>
      </c>
      <c r="B8" s="47">
        <v>9.59</v>
      </c>
      <c r="C8" s="45">
        <v>9.25</v>
      </c>
      <c r="D8" s="45">
        <v>9.3800000000000008</v>
      </c>
      <c r="E8" s="45">
        <v>9.43</v>
      </c>
      <c r="F8" s="48">
        <f t="shared" si="43"/>
        <v>0.16016666666666665</v>
      </c>
      <c r="G8" s="48">
        <f t="shared" si="0"/>
        <v>0.15983333333333333</v>
      </c>
      <c r="H8" s="48">
        <f t="shared" si="0"/>
        <v>0.15416666666666667</v>
      </c>
      <c r="I8" s="48">
        <f t="shared" si="0"/>
        <v>0.15633333333333335</v>
      </c>
      <c r="J8" s="48">
        <f t="shared" si="0"/>
        <v>0.15716666666666665</v>
      </c>
      <c r="K8" s="49">
        <f t="shared" si="44"/>
        <v>31.217481789802292</v>
      </c>
      <c r="L8" s="49">
        <f t="shared" si="1"/>
        <v>31.282586027111577</v>
      </c>
      <c r="M8" s="49">
        <f t="shared" si="1"/>
        <v>32.432432432432428</v>
      </c>
      <c r="N8" s="49">
        <f t="shared" si="1"/>
        <v>31.98294243070362</v>
      </c>
      <c r="O8" s="49">
        <f t="shared" si="1"/>
        <v>31.813361611876992</v>
      </c>
      <c r="P8" s="51">
        <f>(100000*K8/1000000)/(8.314*$J$67)</f>
        <v>1.2896475945699348E-3</v>
      </c>
      <c r="Q8" s="51">
        <f>(100000*L8/1000000)/(8.314*$J$67)</f>
        <v>1.2923371620247209E-3</v>
      </c>
      <c r="R8" s="51">
        <f>(100000*M8/1000000)/(8.314*$J$67)</f>
        <v>1.3398392847369803E-3</v>
      </c>
      <c r="S8" s="51">
        <f>(100000*N8/1000000)/(8.314*$J$67)</f>
        <v>1.3212700835625874E-3</v>
      </c>
      <c r="T8" s="51">
        <f>(100000*O8/1000000)/(8.314*$J$67)</f>
        <v>1.3142644097366991E-3</v>
      </c>
      <c r="U8" s="52">
        <f t="shared" si="2"/>
        <v>9.0125173136603038</v>
      </c>
      <c r="V8" s="52">
        <f t="shared" si="3"/>
        <v>8.9814850365772756</v>
      </c>
      <c r="W8" s="52">
        <f t="shared" si="4"/>
        <v>8.4334047006795085</v>
      </c>
      <c r="X8" s="52">
        <f t="shared" si="5"/>
        <v>8.6476564737773849</v>
      </c>
      <c r="Y8" s="52">
        <f t="shared" si="6"/>
        <v>8.7284880628611319</v>
      </c>
      <c r="Z8" s="45">
        <f t="shared" si="7"/>
        <v>0.2159150999701675</v>
      </c>
      <c r="AE8" s="45">
        <v>8.35</v>
      </c>
      <c r="AF8" s="47">
        <v>8.26</v>
      </c>
      <c r="AG8" s="45">
        <v>8.33</v>
      </c>
      <c r="AH8" s="45">
        <v>8.3800000000000008</v>
      </c>
      <c r="AI8" s="45">
        <v>8.3000000000000007</v>
      </c>
      <c r="AJ8" s="48">
        <f t="shared" si="8"/>
        <v>0.13916666666666666</v>
      </c>
      <c r="AK8" s="48">
        <f t="shared" si="9"/>
        <v>0.13766666666666666</v>
      </c>
      <c r="AL8" s="48">
        <f t="shared" si="10"/>
        <v>0.13883333333333334</v>
      </c>
      <c r="AM8" s="48">
        <f t="shared" si="11"/>
        <v>0.13966666666666669</v>
      </c>
      <c r="AN8" s="48">
        <f t="shared" si="12"/>
        <v>0.13833333333333334</v>
      </c>
      <c r="AO8" s="49">
        <f t="shared" si="13"/>
        <v>35.928143712574851</v>
      </c>
      <c r="AP8" s="49">
        <f t="shared" si="14"/>
        <v>36.319612590799032</v>
      </c>
      <c r="AQ8" s="49">
        <f t="shared" si="15"/>
        <v>36.014405762304918</v>
      </c>
      <c r="AR8" s="49">
        <f t="shared" si="16"/>
        <v>35.799522673031021</v>
      </c>
      <c r="AS8" s="49">
        <f t="shared" si="17"/>
        <v>36.144578313253014</v>
      </c>
      <c r="AT8" s="51">
        <f>(100000*AO8/1000000)/(8.314*$AP$73)</f>
        <v>1.4852733803875351E-3</v>
      </c>
      <c r="AU8" s="51">
        <f>(100000*AP8/1000000)/(8.314*$AP$73)</f>
        <v>1.5014567465176658E-3</v>
      </c>
      <c r="AV8" s="51">
        <f>(100000*AQ8/1000000)/(8.314*$AP$73)</f>
        <v>1.4888394629334835E-3</v>
      </c>
      <c r="AW8" s="51">
        <f>(100000*AR8/1000000)/(8.314*$AP$73)</f>
        <v>1.4799561725818517E-3</v>
      </c>
      <c r="AX8" s="51">
        <f>(100000*AS8/1000000)/(8.314*$AP$73)</f>
        <v>1.4942208103898697E-3</v>
      </c>
      <c r="AY8" s="52">
        <f>($AN$73-AT8)*10^(3)/60/$AF$35</f>
        <v>6.6604735736807594</v>
      </c>
      <c r="AZ8" s="52">
        <f>($AN$73-AU8)*10^(3)/60/$AF$35</f>
        <v>6.4737496077164032</v>
      </c>
      <c r="BA8" s="52">
        <f>($AN$73-AV8)*10^(3)/60/$AF$35</f>
        <v>6.6193280499015001</v>
      </c>
      <c r="BB8" s="52">
        <f>($AN$73-AW8)*10^(3)/60/$AF$35</f>
        <v>6.721823611821792</v>
      </c>
      <c r="BC8" s="52">
        <f>($AN$73-AX8)*10^(3)/60/$AF$35</f>
        <v>6.5572379673309884</v>
      </c>
      <c r="BD8" s="45">
        <f t="shared" si="18"/>
        <v>8.5354148033546823E-2</v>
      </c>
      <c r="BH8" s="45">
        <v>6.55</v>
      </c>
      <c r="BI8" s="47">
        <v>6.46</v>
      </c>
      <c r="BJ8" s="45">
        <v>6.47</v>
      </c>
      <c r="BK8" s="45">
        <v>6.45</v>
      </c>
      <c r="BL8" s="45">
        <v>6.39</v>
      </c>
      <c r="BM8" s="48">
        <f t="shared" si="45"/>
        <v>0.10916666666666666</v>
      </c>
      <c r="BN8" s="48">
        <f t="shared" si="19"/>
        <v>0.10766666666666666</v>
      </c>
      <c r="BO8" s="48">
        <f t="shared" si="20"/>
        <v>0.10783333333333332</v>
      </c>
      <c r="BP8" s="48">
        <f t="shared" si="21"/>
        <v>0.1075</v>
      </c>
      <c r="BQ8" s="48">
        <f t="shared" si="22"/>
        <v>0.1065</v>
      </c>
      <c r="BR8" s="49">
        <f t="shared" si="23"/>
        <v>45.801526717557252</v>
      </c>
      <c r="BS8" s="49">
        <f t="shared" si="24"/>
        <v>46.43962848297214</v>
      </c>
      <c r="BT8" s="49">
        <f t="shared" si="25"/>
        <v>46.367851622874809</v>
      </c>
      <c r="BU8" s="49">
        <f t="shared" si="26"/>
        <v>46.511627906976742</v>
      </c>
      <c r="BV8" s="49">
        <f t="shared" si="27"/>
        <v>46.948356807511736</v>
      </c>
      <c r="BW8" s="50">
        <f>(98800*BR8/1000000)/(8.314*$BR$73)</f>
        <v>1.8145879095055081E-3</v>
      </c>
      <c r="BX8" s="50">
        <f>(98800*BS8/1000000)/(8.314*$BR$73)</f>
        <v>1.8398685460156469E-3</v>
      </c>
      <c r="BY8" s="50">
        <f>(98800*BT8/1000000)/(8.314*$BR$73)</f>
        <v>1.8370248542907384E-3</v>
      </c>
      <c r="BZ8" s="50">
        <f>(98800*BU8/1000000)/(8.314*$BR$73)</f>
        <v>1.8427210553893145E-3</v>
      </c>
      <c r="CA8" s="50">
        <f>(98800*BV8/1000000)/(8.314*$BR$73)</f>
        <v>1.8600236005103406E-3</v>
      </c>
      <c r="CB8" s="52">
        <f>($BP$73-BW8)*10^(3)/60/$BI$35</f>
        <v>2.1435940681626935</v>
      </c>
      <c r="CC8" s="52">
        <f>($BP$73-BX8)*10^(3)/60/$BI$35</f>
        <v>1.851905634908525</v>
      </c>
      <c r="CD8" s="52">
        <f>($BP$73-BY8)*10^(3)/60/$BI$35</f>
        <v>1.8847162005587901</v>
      </c>
      <c r="CE8" s="52">
        <f>($BP$73-BZ8)*10^(3)/60/$BI$35</f>
        <v>1.8189933310702002</v>
      </c>
      <c r="CF8" s="52">
        <f>($BP$73-CA8)*10^(3)/60/$BI$35</f>
        <v>1.6193562580227088</v>
      </c>
      <c r="CG8" s="45">
        <f t="shared" si="28"/>
        <v>0.16770451798261443</v>
      </c>
      <c r="CJ8" s="45">
        <v>11.98</v>
      </c>
      <c r="CK8" s="47">
        <v>11.9</v>
      </c>
      <c r="CL8" s="45">
        <v>12.03</v>
      </c>
      <c r="CM8" s="45">
        <v>11.92</v>
      </c>
      <c r="CN8" s="45">
        <v>12.05</v>
      </c>
      <c r="CO8" s="48">
        <f t="shared" si="46"/>
        <v>0.19966666666666669</v>
      </c>
      <c r="CP8" s="48">
        <f t="shared" si="29"/>
        <v>0.19833333333333333</v>
      </c>
      <c r="CQ8" s="48">
        <f t="shared" si="30"/>
        <v>0.20049999999999998</v>
      </c>
      <c r="CR8" s="48">
        <f t="shared" si="31"/>
        <v>0.19866666666666666</v>
      </c>
      <c r="CS8" s="48">
        <f t="shared" si="32"/>
        <v>0.20083333333333334</v>
      </c>
      <c r="CT8" s="49">
        <f t="shared" si="47"/>
        <v>50.083472454090142</v>
      </c>
      <c r="CU8" s="49">
        <f t="shared" si="48"/>
        <v>50.420168067226889</v>
      </c>
      <c r="CV8" s="49">
        <f t="shared" si="49"/>
        <v>49.875311720698257</v>
      </c>
      <c r="CW8" s="49">
        <f t="shared" si="50"/>
        <v>50.335570469798661</v>
      </c>
      <c r="CX8" s="49">
        <f t="shared" si="51"/>
        <v>49.792531120331951</v>
      </c>
      <c r="CY8" s="50">
        <f>(98800*CT8/1000000)/(8.314*$CS$73)</f>
        <v>2.0083362404175451E-3</v>
      </c>
      <c r="CZ8" s="50">
        <f>(98800*CU8/1000000)/(8.314*$CS$73)</f>
        <v>2.0218376605211931E-3</v>
      </c>
      <c r="DA8" s="50">
        <f>(98800*CV8/1000000)/(8.314*$CS$73)</f>
        <v>1.9999890407483125E-3</v>
      </c>
      <c r="DB8" s="50">
        <f>(98800*CW8/1000000)/(8.314*$CS$73)</f>
        <v>2.0184453154532046E-3</v>
      </c>
      <c r="DC8" s="50">
        <f>(98800*CX8/1000000)/(8.314*$CS$73)</f>
        <v>1.996669556863253E-3</v>
      </c>
      <c r="DD8" s="52">
        <f>($CQ$73-CY8)*10^(3)/60/$BI$35</f>
        <v>0.1884977160133294</v>
      </c>
      <c r="DE8" s="52">
        <f>($CQ$73-CZ8)*10^(3)/60/$BI$35</f>
        <v>3.2718090956816027E-2</v>
      </c>
      <c r="DF8" s="52">
        <f>($CQ$73-DA8)*10^(3)/60/$BI$35</f>
        <v>0.28480785411454856</v>
      </c>
      <c r="DG8" s="52">
        <f>($CQ$73-DB8)*10^(3)/60/$BI$35</f>
        <v>7.1859028628312172E-2</v>
      </c>
      <c r="DH8" s="52">
        <f>($CQ$73-DC8)*10^(3)/60/$BI$35</f>
        <v>0.32310811816277191</v>
      </c>
      <c r="DI8" s="45">
        <f t="shared" si="33"/>
        <v>0.11395004609581971</v>
      </c>
      <c r="DV8" s="45">
        <v>12.02</v>
      </c>
      <c r="DW8" s="47">
        <v>12.03</v>
      </c>
      <c r="DX8" s="45">
        <v>11.93</v>
      </c>
      <c r="DY8" s="45">
        <v>11.91</v>
      </c>
      <c r="DZ8" s="45">
        <v>12.01</v>
      </c>
      <c r="EA8" s="48">
        <f t="shared" si="52"/>
        <v>0.20033333333333334</v>
      </c>
      <c r="EB8" s="48">
        <f t="shared" si="34"/>
        <v>0.20049999999999998</v>
      </c>
      <c r="EC8" s="48">
        <f t="shared" si="35"/>
        <v>0.19883333333333333</v>
      </c>
      <c r="ED8" s="48">
        <f t="shared" si="36"/>
        <v>0.19850000000000001</v>
      </c>
      <c r="EE8" s="48">
        <f t="shared" si="37"/>
        <v>0.20016666666666666</v>
      </c>
      <c r="EF8" s="49">
        <f t="shared" si="53"/>
        <v>49.916805324459233</v>
      </c>
      <c r="EG8" s="49">
        <f t="shared" si="38"/>
        <v>49.875311720698257</v>
      </c>
      <c r="EH8" s="49">
        <f t="shared" si="39"/>
        <v>50.293378038558259</v>
      </c>
      <c r="EI8" s="49">
        <f t="shared" si="40"/>
        <v>50.377833753148614</v>
      </c>
      <c r="EJ8" s="49">
        <f t="shared" si="41"/>
        <v>49.958368026644465</v>
      </c>
      <c r="EK8" s="50">
        <f>(99350*EF8/1000000)/(8.314*$EE$73)</f>
        <v>2.0278497860002158E-3</v>
      </c>
      <c r="EL8" s="50">
        <f>(99350*EG8/1000000)/(8.314*$EE$73)</f>
        <v>2.0261641253302241E-3</v>
      </c>
      <c r="EM8" s="50">
        <f>(99350*EH8/1000000)/(8.314*$EE$73)</f>
        <v>2.043147898384124E-3</v>
      </c>
      <c r="EN8" s="50">
        <f>(99350*EI8/1000000)/(8.314*$EE$73)</f>
        <v>2.0465788772227201E-3</v>
      </c>
      <c r="EO8" s="50">
        <f>(99350*EJ8/1000000)/(8.314*$EE$73)</f>
        <v>2.0295382537654123E-3</v>
      </c>
      <c r="EP8" s="52">
        <f>($EC$73-EK8)*10^(3)/60/$DW$35</f>
        <v>0.26908612661303455</v>
      </c>
      <c r="EQ8" s="52">
        <f>($EC$73-EL8)*10^(3)/60/$DW$35</f>
        <v>0.2885353093751411</v>
      </c>
      <c r="ER8" s="52">
        <f>($EC$73-EM8)*10^(3)/60/$DW$35</f>
        <v>9.2576234102268076E-2</v>
      </c>
      <c r="ES8" s="52">
        <f>($EC$73-EN8)*10^(3)/60/$DW$35</f>
        <v>5.2989539299035965E-2</v>
      </c>
      <c r="ET8" s="52">
        <f>($EC$73-EO8)*10^(3)/60/$DW$35</f>
        <v>0.24960455553657798</v>
      </c>
      <c r="EU8" s="45">
        <f t="shared" si="42"/>
        <v>9.7752977826689944E-2</v>
      </c>
    </row>
    <row r="9" spans="1:151" x14ac:dyDescent="0.3">
      <c r="A9" s="45">
        <v>8.34</v>
      </c>
      <c r="B9" s="47">
        <v>8.42</v>
      </c>
      <c r="C9" s="45">
        <v>8.25</v>
      </c>
      <c r="D9" s="45">
        <v>8.2899999999999991</v>
      </c>
      <c r="E9" s="45">
        <v>8.14</v>
      </c>
      <c r="F9" s="48">
        <f t="shared" si="43"/>
        <v>0.13899999999999998</v>
      </c>
      <c r="G9" s="48">
        <f t="shared" si="0"/>
        <v>0.14033333333333334</v>
      </c>
      <c r="H9" s="48">
        <f t="shared" si="0"/>
        <v>0.13750000000000001</v>
      </c>
      <c r="I9" s="48">
        <f t="shared" si="0"/>
        <v>0.13816666666666666</v>
      </c>
      <c r="J9" s="48">
        <f t="shared" si="0"/>
        <v>0.13566666666666669</v>
      </c>
      <c r="K9" s="49">
        <f t="shared" si="44"/>
        <v>35.971223021582738</v>
      </c>
      <c r="L9" s="49">
        <f t="shared" si="1"/>
        <v>35.62945368171021</v>
      </c>
      <c r="M9" s="49">
        <f t="shared" si="1"/>
        <v>36.36363636363636</v>
      </c>
      <c r="N9" s="49">
        <f t="shared" si="1"/>
        <v>36.188178528347407</v>
      </c>
      <c r="O9" s="49">
        <f t="shared" si="1"/>
        <v>36.85503685503685</v>
      </c>
      <c r="P9" s="51">
        <f>(100000*K9/1000000)/(8.314*$J$68)</f>
        <v>1.4834851494898744E-3</v>
      </c>
      <c r="Q9" s="51">
        <f>(100000*L9/1000000)/(8.314*$J$68)</f>
        <v>1.4693902787108728E-3</v>
      </c>
      <c r="R9" s="51">
        <f>(100000*M9/1000000)/(8.314*$J$68)</f>
        <v>1.4996686238479455E-3</v>
      </c>
      <c r="S9" s="51">
        <f>(100000*N9/1000000)/(8.314*$J$68)</f>
        <v>1.4924325870621896E-3</v>
      </c>
      <c r="T9" s="51">
        <f>(100000*O9/1000000)/(8.314*$J$68)</f>
        <v>1.519934416062107E-3</v>
      </c>
      <c r="U9" s="52">
        <f t="shared" si="2"/>
        <v>6.7350552587164829</v>
      </c>
      <c r="V9" s="52">
        <f t="shared" si="3"/>
        <v>6.8976821282099809</v>
      </c>
      <c r="W9" s="52">
        <f t="shared" si="4"/>
        <v>6.5483300440162271</v>
      </c>
      <c r="X9" s="52">
        <f t="shared" si="5"/>
        <v>6.6318195650241414</v>
      </c>
      <c r="Y9" s="52">
        <f t="shared" si="6"/>
        <v>6.3145029733555438</v>
      </c>
      <c r="Z9" s="45">
        <f t="shared" si="7"/>
        <v>0.19431919760966718</v>
      </c>
      <c r="AE9" s="45">
        <v>7.62</v>
      </c>
      <c r="AF9" s="47">
        <v>7.57</v>
      </c>
      <c r="AG9" s="45">
        <v>7.68</v>
      </c>
      <c r="AH9" s="45">
        <v>7.71</v>
      </c>
      <c r="AI9" s="45">
        <v>7.63</v>
      </c>
      <c r="AJ9" s="48">
        <f t="shared" si="8"/>
        <v>0.127</v>
      </c>
      <c r="AK9" s="48">
        <f t="shared" si="9"/>
        <v>0.12616666666666668</v>
      </c>
      <c r="AL9" s="48">
        <f t="shared" si="10"/>
        <v>0.128</v>
      </c>
      <c r="AM9" s="48">
        <f t="shared" si="11"/>
        <v>0.1285</v>
      </c>
      <c r="AN9" s="48">
        <f t="shared" si="12"/>
        <v>0.12716666666666668</v>
      </c>
      <c r="AO9" s="49">
        <f t="shared" si="13"/>
        <v>39.370078740157481</v>
      </c>
      <c r="AP9" s="49">
        <f t="shared" si="14"/>
        <v>39.63011889035667</v>
      </c>
      <c r="AQ9" s="49">
        <f t="shared" si="15"/>
        <v>39.0625</v>
      </c>
      <c r="AR9" s="49">
        <f t="shared" si="16"/>
        <v>38.910505836575872</v>
      </c>
      <c r="AS9" s="49">
        <f t="shared" si="17"/>
        <v>39.318479685452161</v>
      </c>
      <c r="AT9" s="51">
        <f>(100000*AO9/1000000)/(8.314*$AP$74)</f>
        <v>1.6281229384676828E-3</v>
      </c>
      <c r="AU9" s="51">
        <f>(100000*AP9/1000000)/(8.314*$AP$74)</f>
        <v>1.6388767227376144E-3</v>
      </c>
      <c r="AV9" s="51">
        <f>(100000*AQ9/1000000)/(8.314*$AP$74)</f>
        <v>1.6154032280109041E-3</v>
      </c>
      <c r="AW9" s="51">
        <f>(100000*AR9/1000000)/(8.314*$AP$74)</f>
        <v>1.6091176123377098E-3</v>
      </c>
      <c r="AX9" s="51">
        <f>(100000*AS9/1000000)/(8.314*$AP$74)</f>
        <v>1.6259890945116307E-3</v>
      </c>
      <c r="AY9" s="52">
        <f>($AN$74-AT9)*10^(3)/60/$AF$35</f>
        <v>5.0204549158864786</v>
      </c>
      <c r="AZ9" s="52">
        <f>($AN$74-AU9)*10^(3)/60/$AF$35</f>
        <v>4.8963775619008825</v>
      </c>
      <c r="BA9" s="52">
        <f>($AN$74-AV9)*10^(3)/60/$AF$35</f>
        <v>5.1672151611475687</v>
      </c>
      <c r="BB9" s="52">
        <f>($AN$74-AW9)*10^(3)/60/$AF$35</f>
        <v>5.2397387064711438</v>
      </c>
      <c r="BC9" s="52">
        <f>($AN$74-AX9)*10^(3)/60/$AF$35</f>
        <v>5.0450752453667143</v>
      </c>
      <c r="BD9" s="45">
        <f t="shared" si="18"/>
        <v>0.11950863891365859</v>
      </c>
      <c r="BH9" s="45">
        <v>6.38</v>
      </c>
      <c r="BI9" s="47">
        <v>6.38</v>
      </c>
      <c r="BJ9" s="45">
        <v>6.47</v>
      </c>
      <c r="BK9" s="45">
        <v>6.18</v>
      </c>
      <c r="BL9" s="45">
        <v>6.35</v>
      </c>
      <c r="BM9" s="48">
        <f t="shared" si="45"/>
        <v>0.10633333333333334</v>
      </c>
      <c r="BN9" s="48">
        <f t="shared" si="19"/>
        <v>0.10633333333333334</v>
      </c>
      <c r="BO9" s="48">
        <f t="shared" si="20"/>
        <v>0.10783333333333332</v>
      </c>
      <c r="BP9" s="48">
        <f t="shared" si="21"/>
        <v>0.10299999999999999</v>
      </c>
      <c r="BQ9" s="48">
        <f t="shared" si="22"/>
        <v>0.10583333333333332</v>
      </c>
      <c r="BR9" s="49">
        <f t="shared" si="23"/>
        <v>47.021943573667713</v>
      </c>
      <c r="BS9" s="49">
        <f t="shared" si="24"/>
        <v>47.021943573667713</v>
      </c>
      <c r="BT9" s="49">
        <f t="shared" si="25"/>
        <v>46.367851622874809</v>
      </c>
      <c r="BU9" s="49">
        <f t="shared" si="26"/>
        <v>48.543689320388353</v>
      </c>
      <c r="BV9" s="49">
        <f t="shared" si="27"/>
        <v>47.244094488188985</v>
      </c>
      <c r="BW9" s="50">
        <f>(98800*BR9/1000000)/(8.314*$BR$74)</f>
        <v>1.8623181218166672E-3</v>
      </c>
      <c r="BX9" s="50">
        <f>(98800*BS9/1000000)/(8.314*$BR$74)</f>
        <v>1.8623181218166672E-3</v>
      </c>
      <c r="BY9" s="50">
        <f>(98800*BT9/1000000)/(8.314*$BR$74)</f>
        <v>1.8364126147125714E-3</v>
      </c>
      <c r="BZ9" s="50">
        <f>(98800*BU9/1000000)/(8.314*$BR$74)</f>
        <v>1.9225873166974653E-3</v>
      </c>
      <c r="CA9" s="50">
        <f>(98800*BV9/1000000)/(8.314*$BR$74)</f>
        <v>1.8711164751480846E-3</v>
      </c>
      <c r="CB9" s="52">
        <f>($BP$74-BW9)*10^(3)/60/$BI$35</f>
        <v>1.5851898652439893</v>
      </c>
      <c r="CC9" s="52">
        <f>($BP$74-BX9)*10^(3)/60/$BI$35</f>
        <v>1.5851898652439893</v>
      </c>
      <c r="CD9" s="52">
        <f>($BP$74-BY9)*10^(3)/60/$BI$35</f>
        <v>1.8840880665142763</v>
      </c>
      <c r="CE9" s="52">
        <f>($BP$74-BZ9)*10^(3)/60/$BI$35</f>
        <v>0.88980282381329723</v>
      </c>
      <c r="CF9" s="52">
        <f>($BP$74-CA9)*10^(3)/60/$BI$35</f>
        <v>1.4836743081721364</v>
      </c>
      <c r="CG9" s="45">
        <f t="shared" si="28"/>
        <v>0.32668241596615449</v>
      </c>
      <c r="CJ9" s="45">
        <v>11.95</v>
      </c>
      <c r="CK9" s="47">
        <v>11.87</v>
      </c>
      <c r="CL9" s="45">
        <v>11.89</v>
      </c>
      <c r="CM9" s="45">
        <v>12</v>
      </c>
      <c r="CN9" s="45">
        <v>11.97</v>
      </c>
      <c r="CO9" s="48">
        <f t="shared" si="46"/>
        <v>0.19916666666666666</v>
      </c>
      <c r="CP9" s="48">
        <f t="shared" si="29"/>
        <v>0.19783333333333333</v>
      </c>
      <c r="CQ9" s="48">
        <f t="shared" si="30"/>
        <v>0.19816666666666669</v>
      </c>
      <c r="CR9" s="48">
        <f t="shared" si="31"/>
        <v>0.2</v>
      </c>
      <c r="CS9" s="48">
        <f t="shared" si="32"/>
        <v>0.19950000000000001</v>
      </c>
      <c r="CT9" s="49">
        <f t="shared" si="47"/>
        <v>50.209205020920507</v>
      </c>
      <c r="CU9" s="49">
        <f t="shared" si="48"/>
        <v>50.547598989048019</v>
      </c>
      <c r="CV9" s="49">
        <f t="shared" si="49"/>
        <v>50.462573591253147</v>
      </c>
      <c r="CW9" s="49">
        <f t="shared" si="50"/>
        <v>50</v>
      </c>
      <c r="CX9" s="49">
        <f t="shared" si="51"/>
        <v>50.125313283208015</v>
      </c>
      <c r="CY9" s="50">
        <f>(98800*CT9/1000000)/(8.314*$CS$74)</f>
        <v>2.009309973369683E-3</v>
      </c>
      <c r="CZ9" s="50">
        <f>(98800*CU9/1000000)/(8.314*$CS$74)</f>
        <v>2.0228520793401606E-3</v>
      </c>
      <c r="DA9" s="50">
        <f>(98800*CV9/1000000)/(8.314*$CS$74)</f>
        <v>2.019449468609563E-3</v>
      </c>
      <c r="DB9" s="50">
        <f>(98800*CW9/1000000)/(8.314*$CS$74)</f>
        <v>2.0009378484806425E-3</v>
      </c>
      <c r="DC9" s="50">
        <f>(98800*CX9/1000000)/(8.314*$CS$74)</f>
        <v>2.0059527303064079E-3</v>
      </c>
      <c r="DD9" s="52">
        <f>($CQ$74-CY9)*10^(3)/60/$BI$35</f>
        <v>0.13006145399864141</v>
      </c>
      <c r="DE9" s="52">
        <f>($CQ$74-CZ9)*10^(3)/60/$BI$35</f>
        <v>-2.6187605312281474E-2</v>
      </c>
      <c r="DF9" s="52">
        <f>($CQ$74-DA9)*10^(3)/60/$BI$35</f>
        <v>1.307177775680368E-2</v>
      </c>
      <c r="DG9" s="52">
        <f>($CQ$74-DB9)*10^(3)/60/$BI$35</f>
        <v>0.22665917972888824</v>
      </c>
      <c r="DH9" s="52">
        <f>($CQ$74-DC9)*10^(3)/60/$BI$35</f>
        <v>0.16879738411604162</v>
      </c>
      <c r="DI9" s="45">
        <f t="shared" si="33"/>
        <v>9.5003561595699823E-2</v>
      </c>
      <c r="DV9" s="45">
        <v>11.9</v>
      </c>
      <c r="DW9" s="47">
        <v>11.95</v>
      </c>
      <c r="DX9" s="45">
        <v>11.91</v>
      </c>
      <c r="DY9" s="45">
        <v>11.87</v>
      </c>
      <c r="DZ9" s="45">
        <v>11.97</v>
      </c>
      <c r="EA9" s="48">
        <f t="shared" si="52"/>
        <v>0.19833333333333333</v>
      </c>
      <c r="EB9" s="48">
        <f t="shared" si="34"/>
        <v>0.19916666666666666</v>
      </c>
      <c r="EC9" s="48">
        <f t="shared" si="35"/>
        <v>0.19850000000000001</v>
      </c>
      <c r="ED9" s="48">
        <f t="shared" si="36"/>
        <v>0.19783333333333333</v>
      </c>
      <c r="EE9" s="48">
        <f t="shared" si="37"/>
        <v>0.19950000000000001</v>
      </c>
      <c r="EF9" s="49">
        <f t="shared" si="53"/>
        <v>50.420168067226889</v>
      </c>
      <c r="EG9" s="49">
        <f t="shared" si="38"/>
        <v>50.209205020920507</v>
      </c>
      <c r="EH9" s="49">
        <f t="shared" si="39"/>
        <v>50.377833753148614</v>
      </c>
      <c r="EI9" s="49">
        <f t="shared" si="40"/>
        <v>50.547598989048019</v>
      </c>
      <c r="EJ9" s="49">
        <f t="shared" si="41"/>
        <v>50.125313283208015</v>
      </c>
      <c r="EK9" s="50">
        <f>(99350*EF9/1000000)/(8.314*$EE$74)</f>
        <v>2.0455170941329395E-3</v>
      </c>
      <c r="EL9" s="50">
        <f>(99350*EG9/1000000)/(8.314*$EE$74)</f>
        <v>2.0369584452035135E-3</v>
      </c>
      <c r="EM9" s="50">
        <f>(99350*EH9/1000000)/(8.314*$EE$74)</f>
        <v>2.0437996154644821E-3</v>
      </c>
      <c r="EN9" s="50">
        <f>(99350*EI9/1000000)/(8.314*$EE$74)</f>
        <v>2.0506868930229133E-3</v>
      </c>
      <c r="EO9" s="50">
        <f>(99350*EJ9/1000000)/(8.314*$EE$74)</f>
        <v>2.0335550058631561E-3</v>
      </c>
      <c r="EP9" s="52">
        <f>($EC$74-EK9)*10^(3)/60/$DW$35</f>
        <v>3.3101279913011372E-2</v>
      </c>
      <c r="EQ9" s="52">
        <f>($EC$74-EL9)*10^(3)/60/$DW$35</f>
        <v>0.13185112333548638</v>
      </c>
      <c r="ER9" s="52">
        <f>($EC$74-EM9)*10^(3)/60/$DW$35</f>
        <v>5.2917579306773224E-2</v>
      </c>
      <c r="ES9" s="52">
        <f>($EC$74-EN9)*10^(3)/60/$DW$35</f>
        <v>-2.6547951539323759E-2</v>
      </c>
      <c r="ET9" s="52">
        <f>($EC$74-EO9)*10^(3)/60/$DW$35</f>
        <v>0.1711200669187033</v>
      </c>
      <c r="EU9" s="45">
        <f t="shared" si="42"/>
        <v>7.0703182132828266E-2</v>
      </c>
    </row>
    <row r="10" spans="1:151" x14ac:dyDescent="0.3">
      <c r="A10" s="45">
        <v>7.6</v>
      </c>
      <c r="B10" s="47">
        <v>7.58</v>
      </c>
      <c r="C10" s="45">
        <v>7.62</v>
      </c>
      <c r="D10" s="45">
        <v>7.53</v>
      </c>
      <c r="E10" s="45">
        <v>7.56</v>
      </c>
      <c r="F10" s="48">
        <f t="shared" si="43"/>
        <v>0.12666666666666665</v>
      </c>
      <c r="G10" s="48">
        <f t="shared" si="0"/>
        <v>0.12633333333333333</v>
      </c>
      <c r="H10" s="48">
        <f t="shared" si="0"/>
        <v>0.127</v>
      </c>
      <c r="I10" s="48">
        <f t="shared" si="0"/>
        <v>0.1255</v>
      </c>
      <c r="J10" s="48">
        <f t="shared" si="0"/>
        <v>0.126</v>
      </c>
      <c r="K10" s="49">
        <f t="shared" si="44"/>
        <v>39.473684210526322</v>
      </c>
      <c r="L10" s="49">
        <f t="shared" si="1"/>
        <v>39.577836411609503</v>
      </c>
      <c r="M10" s="49">
        <f t="shared" si="1"/>
        <v>39.370078740157481</v>
      </c>
      <c r="N10" s="49">
        <f t="shared" si="1"/>
        <v>39.840637450199203</v>
      </c>
      <c r="O10" s="49">
        <f t="shared" si="1"/>
        <v>39.682539682539684</v>
      </c>
      <c r="P10" s="51">
        <f>(100000*K10/1000000)/(8.314*$J$69)</f>
        <v>1.6251436364243049E-3</v>
      </c>
      <c r="Q10" s="51">
        <f>(100000*L10/1000000)/(8.314*$J$69)</f>
        <v>1.629431614356823E-3</v>
      </c>
      <c r="R10" s="51">
        <f>(100000*M10/1000000)/(8.314*$J$69)</f>
        <v>1.6208781675622987E-3</v>
      </c>
      <c r="S10" s="51">
        <f>(100000*N10/1000000)/(8.314*$J$69)</f>
        <v>1.6402512133897363E-3</v>
      </c>
      <c r="T10" s="51">
        <f>(100000*O10/1000000)/(8.314*$J$69)</f>
        <v>1.6337422800032694E-3</v>
      </c>
      <c r="U10" s="52">
        <f t="shared" si="2"/>
        <v>5.0597764223744406</v>
      </c>
      <c r="V10" s="52">
        <f t="shared" si="3"/>
        <v>5.0103016567979068</v>
      </c>
      <c r="W10" s="52">
        <f t="shared" si="4"/>
        <v>5.1089914778954526</v>
      </c>
      <c r="X10" s="52">
        <f t="shared" si="5"/>
        <v>4.8854649309075953</v>
      </c>
      <c r="Y10" s="52">
        <f t="shared" si="6"/>
        <v>4.9605651199749419</v>
      </c>
      <c r="Z10" s="45">
        <f t="shared" si="7"/>
        <v>7.7596238065056805E-2</v>
      </c>
      <c r="AE10" s="45">
        <v>7.43</v>
      </c>
      <c r="AF10" s="47">
        <v>7.67</v>
      </c>
      <c r="AG10" s="45">
        <v>7.19</v>
      </c>
      <c r="AH10" s="45">
        <v>6.96</v>
      </c>
      <c r="AI10" s="45">
        <v>7.12</v>
      </c>
      <c r="AJ10" s="48">
        <f t="shared" si="8"/>
        <v>0.12383333333333332</v>
      </c>
      <c r="AK10" s="48">
        <f t="shared" si="9"/>
        <v>0.12783333333333333</v>
      </c>
      <c r="AL10" s="48">
        <f t="shared" si="10"/>
        <v>0.11983333333333333</v>
      </c>
      <c r="AM10" s="48">
        <f t="shared" si="11"/>
        <v>0.11600000000000001</v>
      </c>
      <c r="AN10" s="48">
        <f t="shared" si="12"/>
        <v>0.11866666666666667</v>
      </c>
      <c r="AO10" s="49">
        <f t="shared" si="13"/>
        <v>40.376850605652763</v>
      </c>
      <c r="AP10" s="49">
        <f t="shared" si="14"/>
        <v>39.113428943937421</v>
      </c>
      <c r="AQ10" s="49">
        <f t="shared" si="15"/>
        <v>41.724617524339358</v>
      </c>
      <c r="AR10" s="49">
        <f t="shared" si="16"/>
        <v>43.103448275862064</v>
      </c>
      <c r="AS10" s="49">
        <f t="shared" si="17"/>
        <v>42.134831460674157</v>
      </c>
      <c r="AT10" s="51">
        <f>(100000*AO10/1000000)/(8.314*$AP$75)</f>
        <v>1.6726327285875755E-3</v>
      </c>
      <c r="AU10" s="51">
        <f>(100000*AP10/1000000)/(8.314*$AP$75)</f>
        <v>1.6202948074844441E-3</v>
      </c>
      <c r="AV10" s="51">
        <f>(100000*AQ10/1000000)/(8.314*$AP$75)</f>
        <v>1.7284646972747823E-3</v>
      </c>
      <c r="AW10" s="51">
        <f>(100000*AR10/1000000)/(8.314*$AP$75)</f>
        <v>1.7855835019261041E-3</v>
      </c>
      <c r="AX10" s="51">
        <f>(100000*AS10/1000000)/(8.314*$AP$75)</f>
        <v>1.7454580299727084E-3</v>
      </c>
      <c r="AY10" s="52">
        <f>($AN$75-AT10)*10^(3)/60/$AF$35</f>
        <v>4.5478951146186697</v>
      </c>
      <c r="AZ10" s="52">
        <f>($AN$75-AU10)*10^(3)/60/$AF$35</f>
        <v>5.1517709782754304</v>
      </c>
      <c r="BA10" s="52">
        <f>($AN$75-AV10)*10^(3)/60/$AF$35</f>
        <v>3.903704867852698</v>
      </c>
      <c r="BB10" s="52">
        <f>($AN$75-AW10)*10^(3)/60/$AF$35</f>
        <v>3.2446670848675612</v>
      </c>
      <c r="BC10" s="52">
        <f>($AN$75-AX10)*10^(3)/60/$AF$35</f>
        <v>3.7076354932371896</v>
      </c>
      <c r="BD10" s="45">
        <f t="shared" si="18"/>
        <v>0.66787549687602055</v>
      </c>
      <c r="BH10" s="45">
        <v>6.17</v>
      </c>
      <c r="BI10" s="47">
        <v>6.11</v>
      </c>
      <c r="BJ10" s="45">
        <v>6.31</v>
      </c>
      <c r="BK10" s="45">
        <v>6.28</v>
      </c>
      <c r="BL10" s="45">
        <v>6.35</v>
      </c>
      <c r="BM10" s="48">
        <f t="shared" si="45"/>
        <v>0.10283333333333333</v>
      </c>
      <c r="BN10" s="48">
        <f t="shared" si="19"/>
        <v>0.10183333333333335</v>
      </c>
      <c r="BO10" s="48">
        <f t="shared" si="20"/>
        <v>0.10516666666666666</v>
      </c>
      <c r="BP10" s="48">
        <f t="shared" si="21"/>
        <v>0.10466666666666667</v>
      </c>
      <c r="BQ10" s="48">
        <f t="shared" si="22"/>
        <v>0.10583333333333332</v>
      </c>
      <c r="BR10" s="49">
        <f t="shared" si="23"/>
        <v>48.622366288492707</v>
      </c>
      <c r="BS10" s="49">
        <f t="shared" si="24"/>
        <v>49.099836333878883</v>
      </c>
      <c r="BT10" s="49">
        <f t="shared" si="25"/>
        <v>47.543581616481781</v>
      </c>
      <c r="BU10" s="49">
        <f t="shared" si="26"/>
        <v>47.770700636942671</v>
      </c>
      <c r="BV10" s="49">
        <f t="shared" si="27"/>
        <v>47.244094488188985</v>
      </c>
      <c r="BW10" s="50">
        <f>(98800*BR10/1000000)/(8.314*$BR$75)</f>
        <v>1.9269877859718408E-3</v>
      </c>
      <c r="BX10" s="50">
        <f>(98800*BS10/1000000)/(8.314*$BR$75)</f>
        <v>1.9459107429535608E-3</v>
      </c>
      <c r="BY10" s="50">
        <f>(98800*BT10/1000000)/(8.314*$BR$75)</f>
        <v>1.8842336988028937E-3</v>
      </c>
      <c r="BZ10" s="50">
        <f>(98800*BU10/1000000)/(8.314*$BR$75)</f>
        <v>1.8932348151984484E-3</v>
      </c>
      <c r="CA10" s="50">
        <f>(98800*BV10/1000000)/(8.314*$BR$75)</f>
        <v>1.8723645101490173E-3</v>
      </c>
      <c r="CB10" s="52">
        <f>($BP$75-BW10)*10^(3)/60/$BI$35</f>
        <v>0.85441959216308794</v>
      </c>
      <c r="CC10" s="52">
        <f>($BP$75-BX10)*10^(3)/60/$BI$35</f>
        <v>0.6360861782745455</v>
      </c>
      <c r="CD10" s="52">
        <f>($BP$75-BY10)*10^(3)/60/$BI$35</f>
        <v>1.3477170095964222</v>
      </c>
      <c r="CE10" s="52">
        <f>($BP$75-BZ10)*10^(3)/60/$BI$35</f>
        <v>1.2438619686877495</v>
      </c>
      <c r="CF10" s="52">
        <f>($BP$75-CA10)*10^(3)/60/$BI$35</f>
        <v>1.4846639191830895</v>
      </c>
      <c r="CG10" s="45">
        <f t="shared" si="28"/>
        <v>0.31769828685948215</v>
      </c>
      <c r="CJ10" s="45">
        <v>11.93</v>
      </c>
      <c r="CK10" s="47">
        <v>11.93</v>
      </c>
      <c r="CL10" s="45">
        <v>11.91</v>
      </c>
      <c r="CM10" s="45">
        <v>11.98</v>
      </c>
      <c r="CN10" s="45">
        <v>11.85</v>
      </c>
      <c r="CO10" s="48">
        <f t="shared" si="46"/>
        <v>0.19883333333333333</v>
      </c>
      <c r="CP10" s="48">
        <f t="shared" si="29"/>
        <v>0.19883333333333333</v>
      </c>
      <c r="CQ10" s="48">
        <f t="shared" si="30"/>
        <v>0.19850000000000001</v>
      </c>
      <c r="CR10" s="48">
        <f t="shared" si="31"/>
        <v>0.19966666666666669</v>
      </c>
      <c r="CS10" s="48">
        <f t="shared" si="32"/>
        <v>0.19749999999999998</v>
      </c>
      <c r="CT10" s="49">
        <f t="shared" si="47"/>
        <v>50.293378038558259</v>
      </c>
      <c r="CU10" s="49">
        <f t="shared" si="48"/>
        <v>50.293378038558259</v>
      </c>
      <c r="CV10" s="49">
        <f t="shared" si="49"/>
        <v>50.377833753148614</v>
      </c>
      <c r="CW10" s="49">
        <f t="shared" si="50"/>
        <v>50.083472454090142</v>
      </c>
      <c r="CX10" s="49">
        <f t="shared" si="51"/>
        <v>50.63291139240507</v>
      </c>
      <c r="CY10" s="50">
        <f>(98800*CT10/1000000)/(8.314*$CS$75)</f>
        <v>2.0086199715322302E-3</v>
      </c>
      <c r="CZ10" s="50">
        <f>(98800*CU10/1000000)/(8.314*$CS$75)</f>
        <v>2.0086199715322302E-3</v>
      </c>
      <c r="DA10" s="50">
        <f>(98800*CV10/1000000)/(8.314*$CS$75)</f>
        <v>2.0119929689655335E-3</v>
      </c>
      <c r="DB10" s="50">
        <f>(98800*CW10/1000000)/(8.314*$CS$75)</f>
        <v>2.0002367496143154E-3</v>
      </c>
      <c r="DC10" s="50">
        <f>(98800*CX10/1000000)/(8.314*$CS$75)</f>
        <v>2.022180275137511E-3</v>
      </c>
      <c r="DD10" s="52">
        <f>($CQ$75-CY10)*10^(3)/60/$BI$35</f>
        <v>9.1011753409581134E-2</v>
      </c>
      <c r="DE10" s="52">
        <f>($CQ$75-CZ10)*10^(3)/60/$BI$35</f>
        <v>9.1011753409581134E-2</v>
      </c>
      <c r="DF10" s="52">
        <f>($CQ$75-DA10)*10^(3)/60/$BI$35</f>
        <v>5.2094049090863744E-2</v>
      </c>
      <c r="DG10" s="52">
        <f>($CQ$75-DB10)*10^(3)/60/$BI$35</f>
        <v>0.1877375168561585</v>
      </c>
      <c r="DH10" s="52">
        <f>($CQ$75-DC10)*10^(3)/60/$BI$35</f>
        <v>-6.544727053504569E-2</v>
      </c>
      <c r="DI10" s="45">
        <f t="shared" si="33"/>
        <v>8.1735530371573259E-2</v>
      </c>
      <c r="DV10" s="45">
        <v>11.84</v>
      </c>
      <c r="DW10" s="47">
        <v>11.95</v>
      </c>
      <c r="DX10" s="45">
        <v>11.89</v>
      </c>
      <c r="DY10" s="45">
        <v>11.96</v>
      </c>
      <c r="DZ10" s="45">
        <v>11.91</v>
      </c>
      <c r="EA10" s="48">
        <f t="shared" si="52"/>
        <v>0.19733333333333333</v>
      </c>
      <c r="EB10" s="48">
        <f t="shared" si="34"/>
        <v>0.19916666666666666</v>
      </c>
      <c r="EC10" s="48">
        <f t="shared" si="35"/>
        <v>0.19816666666666669</v>
      </c>
      <c r="ED10" s="48">
        <f t="shared" si="36"/>
        <v>0.19933333333333333</v>
      </c>
      <c r="EE10" s="48">
        <f t="shared" si="37"/>
        <v>0.19850000000000001</v>
      </c>
      <c r="EF10" s="49">
        <f t="shared" si="53"/>
        <v>50.675675675675677</v>
      </c>
      <c r="EG10" s="49">
        <f t="shared" si="38"/>
        <v>50.209205020920507</v>
      </c>
      <c r="EH10" s="49">
        <f t="shared" si="39"/>
        <v>50.462573591253147</v>
      </c>
      <c r="EI10" s="49">
        <f t="shared" si="40"/>
        <v>50.167224080267559</v>
      </c>
      <c r="EJ10" s="49">
        <f t="shared" si="41"/>
        <v>50.377833753148614</v>
      </c>
      <c r="EK10" s="50">
        <f>(99350*EF10/1000000)/(8.314*$EE$75)</f>
        <v>2.0530947798397463E-3</v>
      </c>
      <c r="EL10" s="50">
        <f>(99350*EG10/1000000)/(8.314*$EE$75)</f>
        <v>2.0341959994395484E-3</v>
      </c>
      <c r="EM10" s="50">
        <f>(99350*EH10/1000000)/(8.314*$EE$75)</f>
        <v>2.0444610759716227E-3</v>
      </c>
      <c r="EN10" s="50">
        <f>(99350*EI10/1000000)/(8.314*$EE$75)</f>
        <v>2.0324951666640971E-3</v>
      </c>
      <c r="EO10" s="50">
        <f>(99350*EJ10/1000000)/(8.314*$EE$75)</f>
        <v>2.0410278919649537E-3</v>
      </c>
      <c r="EP10" s="52">
        <f>($EC$75-EK10)*10^(3)/60/$DW$35</f>
        <v>-8.6382152217087088E-2</v>
      </c>
      <c r="EQ10" s="52">
        <f>($EC$75-EL10)*10^(3)/60/$DW$35</f>
        <v>0.13167231184427042</v>
      </c>
      <c r="ER10" s="52">
        <f>($EC$75-EM10)*10^(3)/60/$DW$35</f>
        <v>1.3233676421698964E-2</v>
      </c>
      <c r="ES10" s="52">
        <f>($EC$75-EN10)*10^(3)/60/$DW$35</f>
        <v>0.15129655062875572</v>
      </c>
      <c r="ET10" s="52">
        <f>($EC$75-EO10)*10^(3)/60/$DW$35</f>
        <v>5.2845814493338653E-2</v>
      </c>
      <c r="EU10" s="45">
        <f t="shared" si="42"/>
        <v>8.5859447719876039E-2</v>
      </c>
    </row>
    <row r="11" spans="1:151" x14ac:dyDescent="0.3">
      <c r="A11" s="45">
        <v>7.13</v>
      </c>
      <c r="B11" s="47">
        <v>7.17</v>
      </c>
      <c r="C11" s="45">
        <v>7.06</v>
      </c>
      <c r="D11" s="45">
        <v>7.15</v>
      </c>
      <c r="E11" s="45">
        <v>7.1</v>
      </c>
      <c r="F11" s="48">
        <f t="shared" si="43"/>
        <v>0.11883333333333333</v>
      </c>
      <c r="G11" s="48">
        <f t="shared" si="0"/>
        <v>0.1195</v>
      </c>
      <c r="H11" s="48">
        <f t="shared" si="0"/>
        <v>0.11766666666666666</v>
      </c>
      <c r="I11" s="48">
        <f t="shared" si="0"/>
        <v>0.11916666666666667</v>
      </c>
      <c r="J11" s="48">
        <f t="shared" si="0"/>
        <v>0.11833333333333333</v>
      </c>
      <c r="K11" s="49">
        <f t="shared" si="44"/>
        <v>42.075736325385698</v>
      </c>
      <c r="L11" s="49">
        <f t="shared" si="1"/>
        <v>41.84100418410042</v>
      </c>
      <c r="M11" s="49">
        <f t="shared" si="1"/>
        <v>42.492917847025502</v>
      </c>
      <c r="N11" s="49">
        <f t="shared" si="1"/>
        <v>41.95804195804196</v>
      </c>
      <c r="O11" s="49">
        <f t="shared" si="1"/>
        <v>42.25352112676056</v>
      </c>
      <c r="P11" s="51">
        <f>(100000*K11/1000000)/(8.314*$J$70)</f>
        <v>1.7322709168057107E-3</v>
      </c>
      <c r="Q11" s="51">
        <f>(100000*L11/1000000)/(8.314*$J$70)</f>
        <v>1.7226069228486352E-3</v>
      </c>
      <c r="R11" s="51">
        <f>(100000*M11/1000000)/(8.314*$J$70)</f>
        <v>1.7494464074822547E-3</v>
      </c>
      <c r="S11" s="51">
        <f>(100000*N11/1000000)/(8.314*$J$70)</f>
        <v>1.7274254037517088E-3</v>
      </c>
      <c r="T11" s="51">
        <f>(100000*O11/1000000)/(8.314*$J$70)</f>
        <v>1.7395903713837626E-3</v>
      </c>
      <c r="U11" s="52">
        <f t="shared" si="2"/>
        <v>3.8237399578376241</v>
      </c>
      <c r="V11" s="52">
        <f t="shared" si="3"/>
        <v>3.9352432918294964</v>
      </c>
      <c r="W11" s="52">
        <f t="shared" si="4"/>
        <v>3.6255688412281395</v>
      </c>
      <c r="X11" s="52">
        <f t="shared" si="5"/>
        <v>3.8796475735524267</v>
      </c>
      <c r="Y11" s="52">
        <f t="shared" si="6"/>
        <v>3.7392879608599863</v>
      </c>
      <c r="Z11" s="45">
        <f t="shared" si="7"/>
        <v>0.10891080542974139</v>
      </c>
      <c r="AE11" s="45">
        <v>6.58</v>
      </c>
      <c r="AF11" s="47">
        <v>6.14</v>
      </c>
      <c r="AG11" s="45">
        <v>6.56</v>
      </c>
      <c r="AH11" s="45">
        <v>6.56</v>
      </c>
      <c r="AI11" s="45">
        <v>6.62</v>
      </c>
      <c r="AJ11" s="48">
        <f t="shared" si="8"/>
        <v>0.10966666666666666</v>
      </c>
      <c r="AK11" s="48">
        <f t="shared" si="9"/>
        <v>0.10233333333333333</v>
      </c>
      <c r="AL11" s="48">
        <f t="shared" si="10"/>
        <v>0.10933333333333332</v>
      </c>
      <c r="AM11" s="48">
        <f t="shared" si="11"/>
        <v>0.10933333333333332</v>
      </c>
      <c r="AN11" s="48">
        <f t="shared" si="12"/>
        <v>0.11033333333333334</v>
      </c>
      <c r="AO11" s="49">
        <f t="shared" si="13"/>
        <v>45.592705167173257</v>
      </c>
      <c r="AP11" s="49">
        <f t="shared" si="14"/>
        <v>48.859934853420199</v>
      </c>
      <c r="AQ11" s="49">
        <f t="shared" si="15"/>
        <v>45.731707317073173</v>
      </c>
      <c r="AR11" s="49">
        <f t="shared" si="16"/>
        <v>45.731707317073173</v>
      </c>
      <c r="AS11" s="49">
        <f t="shared" si="17"/>
        <v>45.317220543806641</v>
      </c>
      <c r="AT11" s="51">
        <f>(100000*AO11/1000000)/(8.314*$AP$76)</f>
        <v>1.8985103498141624E-3</v>
      </c>
      <c r="AU11" s="51">
        <f>(100000*AP11/1000000)/(8.314*$AP$76)</f>
        <v>2.0345599514295094E-3</v>
      </c>
      <c r="AV11" s="51">
        <f>(100000*AQ11/1000000)/(8.314*$AP$76)</f>
        <v>1.9042984911245718E-3</v>
      </c>
      <c r="AW11" s="51">
        <f>(100000*AR11/1000000)/(8.314*$AP$76)</f>
        <v>1.9042984911245718E-3</v>
      </c>
      <c r="AX11" s="51">
        <f>(100000*AS11/1000000)/(8.314*$AP$76)</f>
        <v>1.887038988183865E-3</v>
      </c>
      <c r="AY11" s="52">
        <f>($AN$76-AT11)*10^(3)/60/$AF$35</f>
        <v>2.0655514995856508</v>
      </c>
      <c r="AZ11" s="52">
        <f>($AN$76-AU11)*10^(3)/60/$AF$35</f>
        <v>0.49580877874398677</v>
      </c>
      <c r="BA11" s="52">
        <f>($AN$76-AV11)*10^(3)/60/$AF$35</f>
        <v>1.998767822299284</v>
      </c>
      <c r="BB11" s="52">
        <f>($AN$76-AW11)*10^(3)/60/$AF$35</f>
        <v>1.998767822299284</v>
      </c>
      <c r="BC11" s="52">
        <f>($AN$76-AX11)*10^(3)/60/$AF$35</f>
        <v>2.1979082739054547</v>
      </c>
      <c r="BD11" s="45">
        <f t="shared" si="18"/>
        <v>0.6319733838704783</v>
      </c>
      <c r="BH11" s="45">
        <v>6.15</v>
      </c>
      <c r="BI11" s="47">
        <v>6.2</v>
      </c>
      <c r="BJ11" s="45">
        <v>6.27</v>
      </c>
      <c r="BK11" s="45">
        <v>6.21</v>
      </c>
      <c r="BL11" s="45">
        <v>6.12</v>
      </c>
      <c r="BM11" s="48">
        <f t="shared" si="45"/>
        <v>0.10250000000000001</v>
      </c>
      <c r="BN11" s="48">
        <f t="shared" si="19"/>
        <v>0.10333333333333333</v>
      </c>
      <c r="BO11" s="48">
        <f t="shared" si="20"/>
        <v>0.1045</v>
      </c>
      <c r="BP11" s="48">
        <f t="shared" si="21"/>
        <v>0.10349999999999999</v>
      </c>
      <c r="BQ11" s="48">
        <f t="shared" si="22"/>
        <v>0.10200000000000001</v>
      </c>
      <c r="BR11" s="49">
        <f t="shared" si="23"/>
        <v>48.780487804878042</v>
      </c>
      <c r="BS11" s="49">
        <f t="shared" si="24"/>
        <v>48.387096774193552</v>
      </c>
      <c r="BT11" s="49">
        <f t="shared" si="25"/>
        <v>47.846889952153113</v>
      </c>
      <c r="BU11" s="49">
        <f t="shared" si="26"/>
        <v>48.309178743961354</v>
      </c>
      <c r="BV11" s="49">
        <f t="shared" si="27"/>
        <v>49.019607843137251</v>
      </c>
      <c r="BW11" s="50">
        <f>(98800*BR11/1000000)/(8.314*$BR$76)</f>
        <v>1.9358368198814137E-3</v>
      </c>
      <c r="BX11" s="50">
        <f>(98800*BS11/1000000)/(8.314*$BR$76)</f>
        <v>1.9202252326243061E-3</v>
      </c>
      <c r="BY11" s="50">
        <f>(98800*BT11/1000000)/(8.314*$BR$76)</f>
        <v>1.8987873113669373E-3</v>
      </c>
      <c r="BZ11" s="50">
        <f>(98800*BU11/1000000)/(8.314*$BR$76)</f>
        <v>1.9171330824912557E-3</v>
      </c>
      <c r="CA11" s="50">
        <f>(98800*BV11/1000000)/(8.314*$BR$76)</f>
        <v>1.9453262160573032E-3</v>
      </c>
      <c r="CB11" s="52">
        <f>($BP$76-BW11)*10^(3)/60/$BI$35</f>
        <v>0.7831598746423597</v>
      </c>
      <c r="CC11" s="52">
        <f>($BP$76-BX11)*10^(3)/60/$BI$35</f>
        <v>0.96328664581009393</v>
      </c>
      <c r="CD11" s="52">
        <f>($BP$76-BY11)*10^(3)/60/$BI$35</f>
        <v>1.2106377621983346</v>
      </c>
      <c r="CE11" s="52">
        <f>($BP$76-BZ11)*10^(3)/60/$BI$35</f>
        <v>0.99896392898824582</v>
      </c>
      <c r="CF11" s="52">
        <f>($BP$76-CA11)*10^(3)/60/$BI$35</f>
        <v>0.67367105295216101</v>
      </c>
      <c r="CG11" s="45">
        <f t="shared" si="28"/>
        <v>0.18536767125171968</v>
      </c>
      <c r="CJ11" s="45">
        <v>11.97</v>
      </c>
      <c r="CK11" s="47">
        <v>11.85</v>
      </c>
      <c r="CL11" s="45">
        <v>11.96</v>
      </c>
      <c r="CM11" s="45">
        <v>11.93</v>
      </c>
      <c r="CN11" s="45">
        <v>11.93</v>
      </c>
      <c r="CO11" s="48">
        <f t="shared" si="46"/>
        <v>0.19950000000000001</v>
      </c>
      <c r="CP11" s="48">
        <f t="shared" si="29"/>
        <v>0.19749999999999998</v>
      </c>
      <c r="CQ11" s="48">
        <f t="shared" si="30"/>
        <v>0.19933333333333333</v>
      </c>
      <c r="CR11" s="48">
        <f t="shared" si="31"/>
        <v>0.19883333333333333</v>
      </c>
      <c r="CS11" s="48">
        <f t="shared" si="32"/>
        <v>0.19883333333333333</v>
      </c>
      <c r="CT11" s="49">
        <f t="shared" si="47"/>
        <v>50.125313283208015</v>
      </c>
      <c r="CU11" s="49">
        <f t="shared" si="48"/>
        <v>50.63291139240507</v>
      </c>
      <c r="CV11" s="49">
        <f t="shared" si="49"/>
        <v>50.167224080267559</v>
      </c>
      <c r="CW11" s="49">
        <f t="shared" si="50"/>
        <v>50.293378038558259</v>
      </c>
      <c r="CX11" s="49">
        <f t="shared" si="51"/>
        <v>50.293378038558259</v>
      </c>
      <c r="CY11" s="50">
        <f>(98800*CT11/1000000)/(8.314*$CS$76)</f>
        <v>1.9952023556003614E-3</v>
      </c>
      <c r="CZ11" s="50">
        <f>(98800*CU11/1000000)/(8.314*$CS$76)</f>
        <v>2.015406936416568E-3</v>
      </c>
      <c r="DA11" s="50">
        <f>(98800*CV11/1000000)/(8.314*$CS$76)</f>
        <v>1.9968705849946759E-3</v>
      </c>
      <c r="DB11" s="50">
        <f>(98800*CW11/1000000)/(8.314*$CS$76)</f>
        <v>2.0018920533559368E-3</v>
      </c>
      <c r="DC11" s="50">
        <f>(98800*CX11/1000000)/(8.314*$CS$76)</f>
        <v>2.0018920533559368E-3</v>
      </c>
      <c r="DD11" s="52">
        <f>($CQ$76-CY11)*10^(3)/60/$BI$35</f>
        <v>0.16789275904625153</v>
      </c>
      <c r="DE11" s="52">
        <f>($CQ$76-CZ11)*10^(3)/60/$BI$35</f>
        <v>-6.5228053417190901E-2</v>
      </c>
      <c r="DF11" s="52">
        <f>($CQ$76-DA11)*10^(3)/60/$BI$35</f>
        <v>0.14864469865263724</v>
      </c>
      <c r="DG11" s="52">
        <f>($CQ$76-DB11)*10^(3)/60/$BI$35</f>
        <v>9.0706907476211532E-2</v>
      </c>
      <c r="DH11" s="52">
        <f>($CQ$76-DC11)*10^(3)/60/$BI$35</f>
        <v>9.0706907476211532E-2</v>
      </c>
      <c r="DI11" s="45">
        <f t="shared" si="33"/>
        <v>8.1906694677809699E-2</v>
      </c>
      <c r="DV11" s="45">
        <v>11.9</v>
      </c>
      <c r="DW11" s="47">
        <v>11.81</v>
      </c>
      <c r="DX11" s="45">
        <v>11.94</v>
      </c>
      <c r="DY11" s="45">
        <v>11.87</v>
      </c>
      <c r="DZ11" s="45">
        <v>11.76</v>
      </c>
      <c r="EA11" s="48">
        <f t="shared" si="52"/>
        <v>0.19833333333333333</v>
      </c>
      <c r="EB11" s="48">
        <f t="shared" si="34"/>
        <v>0.19683333333333333</v>
      </c>
      <c r="EC11" s="48">
        <f t="shared" si="35"/>
        <v>0.19899999999999998</v>
      </c>
      <c r="ED11" s="48">
        <f t="shared" si="36"/>
        <v>0.19783333333333333</v>
      </c>
      <c r="EE11" s="48">
        <f t="shared" si="37"/>
        <v>0.19600000000000001</v>
      </c>
      <c r="EF11" s="49">
        <f t="shared" si="53"/>
        <v>50.420168067226889</v>
      </c>
      <c r="EG11" s="49">
        <f t="shared" si="38"/>
        <v>50.804403048264184</v>
      </c>
      <c r="EH11" s="49">
        <f t="shared" si="39"/>
        <v>50.251256281407038</v>
      </c>
      <c r="EI11" s="49">
        <f t="shared" si="40"/>
        <v>50.547598989048019</v>
      </c>
      <c r="EJ11" s="49">
        <f t="shared" si="41"/>
        <v>51.020408163265301</v>
      </c>
      <c r="EK11" s="50">
        <f>(99350*EF11/1000000)/(8.314*$EE$76)</f>
        <v>2.0372174474280885E-3</v>
      </c>
      <c r="EL11" s="50">
        <f>(99350*EG11/1000000)/(8.314*$EE$76)</f>
        <v>2.052742389872503E-3</v>
      </c>
      <c r="EM11" s="50">
        <f>(99350*EH11/1000000)/(8.314*$EE$76)</f>
        <v>2.0303925983579784E-3</v>
      </c>
      <c r="EN11" s="50">
        <f>(99350*EI11/1000000)/(8.314*$EE$76)</f>
        <v>2.0423662699573931E-3</v>
      </c>
      <c r="EO11" s="50">
        <f>(99350*EJ11/1000000)/(8.314*$EE$76)</f>
        <v>2.0614700360879474E-3</v>
      </c>
      <c r="EP11" s="52">
        <f>($EC$76-EK11)*10^(3)/60/$DW$35</f>
        <v>3.2966972099338215E-2</v>
      </c>
      <c r="EQ11" s="52">
        <f>($EC$76-EL11)*10^(3)/60/$DW$35</f>
        <v>-0.14616008967999078</v>
      </c>
      <c r="ER11" s="52">
        <f>($EC$76-EM11)*10^(3)/60/$DW$35</f>
        <v>0.11171220193792274</v>
      </c>
      <c r="ES11" s="52">
        <f>($EC$76-EN11)*10^(3)/60/$DW$35</f>
        <v>-2.6440233730875329E-2</v>
      </c>
      <c r="ET11" s="52">
        <f>($EC$76-EO11)*10^(3)/60/$DW$35</f>
        <v>-0.2468598267913843</v>
      </c>
      <c r="EU11" s="45">
        <f t="shared" si="42"/>
        <v>0.12764572237036334</v>
      </c>
    </row>
    <row r="12" spans="1:151" x14ac:dyDescent="0.3">
      <c r="A12" s="6"/>
      <c r="B12" s="9"/>
      <c r="C12" s="6"/>
      <c r="D12" s="6"/>
      <c r="E12" s="6"/>
      <c r="F12" s="9"/>
      <c r="G12" s="9"/>
      <c r="H12" s="9"/>
      <c r="I12" s="9"/>
      <c r="J12" s="9"/>
      <c r="K12" s="6"/>
      <c r="L12" s="6"/>
      <c r="M12" s="6"/>
      <c r="N12" s="6"/>
      <c r="O12" s="6"/>
      <c r="P12" s="6"/>
      <c r="Q12" s="6"/>
      <c r="R12" s="6"/>
      <c r="S12" s="6"/>
      <c r="T12" s="39"/>
      <c r="U12" s="6"/>
      <c r="V12" s="6"/>
      <c r="W12" s="6"/>
      <c r="X12" s="6"/>
      <c r="Y12" s="6"/>
      <c r="Z12" s="7"/>
      <c r="AE12" s="45">
        <v>6.52</v>
      </c>
      <c r="AF12" s="47">
        <v>6.59</v>
      </c>
      <c r="AG12" s="45">
        <v>6.51</v>
      </c>
      <c r="AH12" s="45">
        <v>6.53</v>
      </c>
      <c r="AI12" s="45">
        <v>6.52</v>
      </c>
      <c r="AJ12" s="48">
        <f t="shared" si="8"/>
        <v>0.10866666666666666</v>
      </c>
      <c r="AK12" s="48">
        <f t="shared" si="9"/>
        <v>0.10983333333333332</v>
      </c>
      <c r="AL12" s="48">
        <f t="shared" si="10"/>
        <v>0.1085</v>
      </c>
      <c r="AM12" s="48">
        <f t="shared" si="11"/>
        <v>0.10883333333333334</v>
      </c>
      <c r="AN12" s="48">
        <f t="shared" si="12"/>
        <v>0.10866666666666666</v>
      </c>
      <c r="AO12" s="49">
        <f t="shared" si="13"/>
        <v>46.012269938650306</v>
      </c>
      <c r="AP12" s="49">
        <f t="shared" si="14"/>
        <v>45.523520485584221</v>
      </c>
      <c r="AQ12" s="49">
        <f t="shared" si="15"/>
        <v>46.082949308755758</v>
      </c>
      <c r="AR12" s="49">
        <f t="shared" si="16"/>
        <v>45.94180704441041</v>
      </c>
      <c r="AS12" s="49">
        <f t="shared" si="17"/>
        <v>46.012269938650306</v>
      </c>
      <c r="AT12" s="51">
        <f>(100000*AO12/1000000)/(8.314*$AP$77)</f>
        <v>1.9199694697206757E-3</v>
      </c>
      <c r="AU12" s="51">
        <f>(100000*AP12/1000000)/(8.314*$AP$77)</f>
        <v>1.8995752568404863E-3</v>
      </c>
      <c r="AV12" s="51">
        <f>(100000*AQ12/1000000)/(8.314*$AP$77)</f>
        <v>1.9229187315789255E-3</v>
      </c>
      <c r="AW12" s="51">
        <f>(100000*AR12/1000000)/(8.314*$AP$77)</f>
        <v>1.9170292408237062E-3</v>
      </c>
      <c r="AX12" s="51">
        <f>(100000*AS12/1000000)/(8.314*$AP$77)</f>
        <v>1.9199694697206757E-3</v>
      </c>
      <c r="AY12" s="52">
        <f>($AN$77-AT12)*10^(3)/60/$AF$35</f>
        <v>1.8678512259021662</v>
      </c>
      <c r="AZ12" s="52">
        <f>($AN$77-AU12)*10^(3)/60/$AF$35</f>
        <v>2.1031600164893285</v>
      </c>
      <c r="BA12" s="52">
        <f>($AN$77-AV12)*10^(3)/60/$AF$35</f>
        <v>1.8338225901775804</v>
      </c>
      <c r="BB12" s="52">
        <f>($AN$77-AW12)*10^(3)/60/$AF$35</f>
        <v>1.9017756391589955</v>
      </c>
      <c r="BC12" s="52">
        <f>($AN$77-AX12)*10^(3)/60/$AF$35</f>
        <v>1.8678512259021662</v>
      </c>
      <c r="BD12" s="45">
        <f t="shared" ref="BD12:BD18" si="54">_xlfn.STDEV.P(AY12:BC12)</f>
        <v>9.6555479408309539E-2</v>
      </c>
      <c r="BH12" s="45">
        <v>6.03</v>
      </c>
      <c r="BI12" s="47">
        <v>6.05</v>
      </c>
      <c r="BJ12" s="45">
        <v>6.13</v>
      </c>
      <c r="BK12" s="45">
        <v>6.09</v>
      </c>
      <c r="BL12" s="45">
        <v>6.1</v>
      </c>
      <c r="BM12" s="48">
        <f t="shared" si="45"/>
        <v>0.10050000000000001</v>
      </c>
      <c r="BN12" s="48">
        <f t="shared" si="19"/>
        <v>0.10083333333333333</v>
      </c>
      <c r="BO12" s="48">
        <f t="shared" si="20"/>
        <v>0.10216666666666667</v>
      </c>
      <c r="BP12" s="48">
        <f t="shared" si="21"/>
        <v>0.10149999999999999</v>
      </c>
      <c r="BQ12" s="48">
        <f t="shared" si="22"/>
        <v>0.10166666666666666</v>
      </c>
      <c r="BR12" s="49">
        <f t="shared" si="23"/>
        <v>49.751243781094523</v>
      </c>
      <c r="BS12" s="49">
        <f t="shared" si="24"/>
        <v>49.586776859504134</v>
      </c>
      <c r="BT12" s="49">
        <f t="shared" si="25"/>
        <v>48.939641109298528</v>
      </c>
      <c r="BU12" s="49">
        <f t="shared" si="26"/>
        <v>49.26108374384237</v>
      </c>
      <c r="BV12" s="49">
        <f t="shared" si="27"/>
        <v>49.180327868852466</v>
      </c>
      <c r="BW12" s="50">
        <f>(98800*BR12/1000000)/(8.314*$BR$77)</f>
        <v>1.976340906553067E-3</v>
      </c>
      <c r="BX12" s="50">
        <f>(98800*BS12/1000000)/(8.314*$BR$77)</f>
        <v>1.9698075481842966E-3</v>
      </c>
      <c r="BY12" s="50">
        <f>(98800*BT12/1000000)/(8.314*$BR$77)</f>
        <v>1.9441004349942889E-3</v>
      </c>
      <c r="BZ12" s="50">
        <f>(98800*BU12/1000000)/(8.314*$BR$77)</f>
        <v>1.9568695675722483E-3</v>
      </c>
      <c r="CA12" s="50">
        <f>(98800*BV12/1000000)/(8.314*$BR$77)</f>
        <v>1.9536615846745889E-3</v>
      </c>
      <c r="CB12" s="52">
        <f>($BP$77-BW12)*10^(3)/60/$BI$35</f>
        <v>0.33900757203796605</v>
      </c>
      <c r="CC12" s="52">
        <f>($BP$77-BX12)*10^(3)/60/$BI$35</f>
        <v>0.41438957698512657</v>
      </c>
      <c r="CD12" s="52">
        <f>($BP$77-BY12)*10^(3)/60/$BI$35</f>
        <v>0.71099870574949409</v>
      </c>
      <c r="CE12" s="52">
        <f>($BP$77-BZ12)*10^(3)/60/$BI$35</f>
        <v>0.56366822717606158</v>
      </c>
      <c r="CF12" s="52">
        <f>($BP$77-CA12)*10^(3)/60/$BI$35</f>
        <v>0.60068199085045182</v>
      </c>
      <c r="CG12" s="45">
        <f t="shared" si="28"/>
        <v>0.1331492068312633</v>
      </c>
      <c r="CJ12" s="45"/>
      <c r="CK12" s="47"/>
      <c r="CL12" s="45"/>
      <c r="CM12" s="45"/>
      <c r="CN12" s="45"/>
      <c r="CO12" s="48"/>
      <c r="CP12" s="48"/>
      <c r="CQ12" s="48"/>
      <c r="CR12" s="48"/>
      <c r="CS12" s="48"/>
      <c r="CT12" s="49"/>
      <c r="CU12" s="49"/>
      <c r="CV12" s="49"/>
      <c r="CW12" s="49"/>
      <c r="CX12" s="49"/>
      <c r="CY12" s="50"/>
      <c r="CZ12" s="50"/>
      <c r="DA12" s="50"/>
      <c r="DB12" s="50"/>
      <c r="DC12" s="50"/>
      <c r="DD12" s="52"/>
      <c r="DE12" s="52"/>
      <c r="DF12" s="52"/>
      <c r="DG12" s="52"/>
      <c r="DH12" s="52"/>
      <c r="DI12" s="45"/>
    </row>
    <row r="13" spans="1:151" x14ac:dyDescent="0.3">
      <c r="A13" s="6"/>
      <c r="B13" s="9"/>
      <c r="C13" s="6"/>
      <c r="D13" s="6"/>
      <c r="E13" s="6"/>
      <c r="F13" s="9"/>
      <c r="G13" s="9"/>
      <c r="H13" s="9"/>
      <c r="I13" s="9"/>
      <c r="J13" s="9"/>
      <c r="K13" s="6"/>
      <c r="L13" s="6"/>
      <c r="M13" s="6"/>
      <c r="N13" s="6"/>
      <c r="O13" s="6"/>
      <c r="P13" s="6"/>
      <c r="Q13" s="6"/>
      <c r="R13" s="6"/>
      <c r="S13" s="6"/>
      <c r="T13" s="39"/>
      <c r="U13" s="6"/>
      <c r="V13" s="6"/>
      <c r="W13" s="6"/>
      <c r="X13" s="6"/>
      <c r="Y13" s="6"/>
      <c r="Z13" s="7"/>
      <c r="AE13" s="45">
        <v>6.26</v>
      </c>
      <c r="AF13" s="47">
        <v>6.25</v>
      </c>
      <c r="AG13" s="45">
        <v>6.3</v>
      </c>
      <c r="AH13" s="45">
        <v>6.2</v>
      </c>
      <c r="AI13" s="45">
        <v>6.3</v>
      </c>
      <c r="AJ13" s="48">
        <f t="shared" si="8"/>
        <v>0.10433333333333333</v>
      </c>
      <c r="AK13" s="48">
        <f t="shared" si="9"/>
        <v>0.10416666666666667</v>
      </c>
      <c r="AL13" s="48">
        <f t="shared" si="10"/>
        <v>0.105</v>
      </c>
      <c r="AM13" s="48">
        <f t="shared" si="11"/>
        <v>0.10333333333333333</v>
      </c>
      <c r="AN13" s="48">
        <f t="shared" si="12"/>
        <v>0.105</v>
      </c>
      <c r="AO13" s="49">
        <f t="shared" si="13"/>
        <v>47.923322683706068</v>
      </c>
      <c r="AP13" s="49">
        <f t="shared" si="14"/>
        <v>48</v>
      </c>
      <c r="AQ13" s="49">
        <f t="shared" si="15"/>
        <v>47.61904761904762</v>
      </c>
      <c r="AR13" s="49">
        <f t="shared" si="16"/>
        <v>48.387096774193552</v>
      </c>
      <c r="AS13" s="49">
        <f t="shared" si="17"/>
        <v>47.61904761904762</v>
      </c>
      <c r="AT13" s="51">
        <f>(100000*AO13/1000000)/(8.314*$AP$78)</f>
        <v>2.0024914365666465E-3</v>
      </c>
      <c r="AU13" s="51">
        <f>(100000*AP13/1000000)/(8.314*$AP$78)</f>
        <v>2.0056954228651531E-3</v>
      </c>
      <c r="AV13" s="51">
        <f>(100000*AQ13/1000000)/(8.314*$AP$78)</f>
        <v>1.9897772052233664E-3</v>
      </c>
      <c r="AW13" s="51">
        <f>(100000*AR13/1000000)/(8.314*$AP$78)</f>
        <v>2.0218703859527756E-3</v>
      </c>
      <c r="AX13" s="51">
        <f>(100000*AS13/1000000)/(8.314*$AP$78)</f>
        <v>1.9897772052233664E-3</v>
      </c>
      <c r="AY13" s="52">
        <f>($AN$78-AT13)*10^(3)/60/$AF$35</f>
        <v>0.94909048707601318</v>
      </c>
      <c r="AZ13" s="52">
        <f>($AN$78-AU13)*10^(3)/60/$AF$35</f>
        <v>0.91212283623366119</v>
      </c>
      <c r="BA13" s="52">
        <f>($AN$78-AV13)*10^(3)/60/$AF$35</f>
        <v>1.0957875142282005</v>
      </c>
      <c r="BB13" s="52">
        <f>($AN$78-AW13)*10^(3)/60/$AF$35</f>
        <v>0.7254958247230745</v>
      </c>
      <c r="BC13" s="52">
        <f>($AN$78-AX13)*10^(3)/60/$AF$35</f>
        <v>1.0957875142282005</v>
      </c>
      <c r="BD13" s="45">
        <f t="shared" si="54"/>
        <v>0.1372484106627509</v>
      </c>
      <c r="BH13" s="45">
        <v>6.06</v>
      </c>
      <c r="BI13" s="47">
        <v>6.03</v>
      </c>
      <c r="BJ13" s="45">
        <v>6.08</v>
      </c>
      <c r="BK13" s="45">
        <v>6.05</v>
      </c>
      <c r="BL13" s="45">
        <v>6.05</v>
      </c>
      <c r="BM13" s="48">
        <f t="shared" si="45"/>
        <v>0.10099999999999999</v>
      </c>
      <c r="BN13" s="48">
        <f t="shared" si="19"/>
        <v>0.10050000000000001</v>
      </c>
      <c r="BO13" s="48">
        <f t="shared" si="20"/>
        <v>0.10133333333333333</v>
      </c>
      <c r="BP13" s="48">
        <f t="shared" si="21"/>
        <v>0.10083333333333333</v>
      </c>
      <c r="BQ13" s="48">
        <f t="shared" si="22"/>
        <v>0.10083333333333333</v>
      </c>
      <c r="BR13" s="49">
        <f t="shared" si="23"/>
        <v>49.504950495049506</v>
      </c>
      <c r="BS13" s="49">
        <f t="shared" si="24"/>
        <v>49.751243781094523</v>
      </c>
      <c r="BT13" s="49">
        <f t="shared" si="25"/>
        <v>49.342105263157897</v>
      </c>
      <c r="BU13" s="49">
        <f t="shared" si="26"/>
        <v>49.586776859504134</v>
      </c>
      <c r="BV13" s="49">
        <f t="shared" si="27"/>
        <v>49.586776859504134</v>
      </c>
      <c r="BW13" s="50">
        <f>(98800*BR13/1000000)/(8.314*$BR$78)</f>
        <v>1.9911847646611452E-3</v>
      </c>
      <c r="BX13" s="50">
        <f>(98800*BS13/1000000)/(8.314*$BR$78)</f>
        <v>2.0010911565251314E-3</v>
      </c>
      <c r="BY13" s="50">
        <f>(98800*BT13/1000000)/(8.314*$BR$78)</f>
        <v>1.9846348147773917E-3</v>
      </c>
      <c r="BZ13" s="50">
        <f>(98800*BU13/1000000)/(8.314*$BR$78)</f>
        <v>1.9944759791481886E-3</v>
      </c>
      <c r="CA13" s="50">
        <f>(98800*BV13/1000000)/(8.314*$BR$78)</f>
        <v>1.9944759791481886E-3</v>
      </c>
      <c r="CB13" s="52">
        <f>($BP$78-BW13)*10^(3)/60/$BI$35</f>
        <v>0.45755318060409733</v>
      </c>
      <c r="CC13" s="52">
        <f>($BP$78-BX13)*10^(3)/60/$BI$35</f>
        <v>0.34325305525523148</v>
      </c>
      <c r="CD13" s="52">
        <f>($BP$78-BY13)*10^(3)/60/$BI$35</f>
        <v>0.53312661874593958</v>
      </c>
      <c r="CE13" s="52">
        <f>($BP$78-BZ13)*10^(3)/60/$BI$35</f>
        <v>0.41957908937248939</v>
      </c>
      <c r="CF13" s="52">
        <f>($BP$78-CA13)*10^(3)/60/$BI$35</f>
        <v>0.41957908937248939</v>
      </c>
      <c r="CG13" s="45">
        <f t="shared" si="28"/>
        <v>6.1692562388509502E-2</v>
      </c>
      <c r="CJ13" s="45"/>
      <c r="CK13" s="47"/>
      <c r="CL13" s="45"/>
      <c r="CM13" s="45"/>
      <c r="CN13" s="45"/>
      <c r="CO13" s="48"/>
      <c r="CP13" s="48"/>
      <c r="CQ13" s="48"/>
      <c r="CR13" s="48"/>
      <c r="CS13" s="48"/>
      <c r="CT13" s="49"/>
      <c r="CU13" s="49"/>
      <c r="CV13" s="49"/>
      <c r="CW13" s="49"/>
      <c r="CX13" s="49"/>
      <c r="CY13" s="50"/>
      <c r="CZ13" s="50"/>
      <c r="DA13" s="50"/>
      <c r="DB13" s="50"/>
      <c r="DC13" s="50"/>
      <c r="DD13" s="52"/>
      <c r="DE13" s="52"/>
      <c r="DF13" s="52"/>
      <c r="DG13" s="52"/>
      <c r="DH13" s="52"/>
      <c r="DI13" s="45"/>
    </row>
    <row r="14" spans="1:151" x14ac:dyDescent="0.3">
      <c r="A14" s="6"/>
      <c r="B14" s="9"/>
      <c r="C14" s="6"/>
      <c r="D14" s="6"/>
      <c r="E14" s="6"/>
      <c r="F14" s="9"/>
      <c r="G14" s="9"/>
      <c r="H14" s="9"/>
      <c r="I14" s="9"/>
      <c r="J14" s="9"/>
      <c r="K14" s="6"/>
      <c r="L14" s="6"/>
      <c r="M14" s="6"/>
      <c r="N14" s="6"/>
      <c r="O14" s="6"/>
      <c r="P14" s="6"/>
      <c r="Q14" s="6"/>
      <c r="R14" s="6"/>
      <c r="S14" s="6"/>
      <c r="T14" s="39"/>
      <c r="U14" s="6"/>
      <c r="V14" s="6"/>
      <c r="W14" s="6"/>
      <c r="X14" s="6"/>
      <c r="Y14" s="6"/>
      <c r="Z14" s="7"/>
      <c r="AE14" s="45">
        <v>6.05</v>
      </c>
      <c r="AF14" s="47">
        <v>6.3</v>
      </c>
      <c r="AG14" s="45">
        <v>6.09</v>
      </c>
      <c r="AH14" s="45">
        <v>6.15</v>
      </c>
      <c r="AI14" s="45">
        <v>6.15</v>
      </c>
      <c r="AJ14" s="48">
        <f t="shared" si="8"/>
        <v>0.10083333333333333</v>
      </c>
      <c r="AK14" s="48">
        <f t="shared" si="9"/>
        <v>0.105</v>
      </c>
      <c r="AL14" s="48">
        <f t="shared" si="10"/>
        <v>0.10149999999999999</v>
      </c>
      <c r="AM14" s="48">
        <f t="shared" si="11"/>
        <v>0.10250000000000001</v>
      </c>
      <c r="AN14" s="48">
        <f t="shared" si="12"/>
        <v>0.10250000000000001</v>
      </c>
      <c r="AO14" s="49">
        <f t="shared" si="13"/>
        <v>49.586776859504134</v>
      </c>
      <c r="AP14" s="49">
        <f t="shared" si="14"/>
        <v>47.61904761904762</v>
      </c>
      <c r="AQ14" s="49">
        <f t="shared" si="15"/>
        <v>49.26108374384237</v>
      </c>
      <c r="AR14" s="49">
        <f t="shared" si="16"/>
        <v>48.780487804878042</v>
      </c>
      <c r="AS14" s="49">
        <f t="shared" si="17"/>
        <v>48.780487804878042</v>
      </c>
      <c r="AT14" s="51">
        <f>(100000*AO14/1000000)/(8.314*$AP$79)</f>
        <v>2.0429012789172493E-3</v>
      </c>
      <c r="AU14" s="51">
        <f>(100000*AP14/1000000)/(8.314*$AP$79)</f>
        <v>1.9618337678491042E-3</v>
      </c>
      <c r="AV14" s="51">
        <f>(100000*AQ14/1000000)/(8.314*$AP$79)</f>
        <v>2.0294832081197635E-3</v>
      </c>
      <c r="AW14" s="51">
        <f>(100000*AR14/1000000)/(8.314*$AP$79)</f>
        <v>2.009683371942985E-3</v>
      </c>
      <c r="AX14" s="51">
        <f>(100000*AS14/1000000)/(8.314*$AP$79)</f>
        <v>2.009683371942985E-3</v>
      </c>
      <c r="AY14" s="52">
        <f>($AN$79-AT14)*10^(3)/60/$AF$35</f>
        <v>0.14504043845913842</v>
      </c>
      <c r="AZ14" s="52">
        <f>($AN$79-AU14)*10^(3)/60/$AF$35</f>
        <v>1.0803988216153058</v>
      </c>
      <c r="BA14" s="52">
        <f>($AN$79-AV14)*10^(3)/60/$AF$35</f>
        <v>0.29985837774015578</v>
      </c>
      <c r="BB14" s="52">
        <f>($AN$79-AW14)*10^(3)/60/$AF$35</f>
        <v>0.52830923936215268</v>
      </c>
      <c r="BC14" s="52">
        <f>($AN$79-AX14)*10^(3)/60/$AF$35</f>
        <v>0.52830923936215268</v>
      </c>
      <c r="BD14" s="45">
        <f t="shared" si="54"/>
        <v>0.3172306818261067</v>
      </c>
      <c r="BH14" s="45">
        <v>5.92</v>
      </c>
      <c r="BI14" s="47">
        <v>5.96</v>
      </c>
      <c r="BJ14" s="45">
        <v>5.98</v>
      </c>
      <c r="BK14" s="45">
        <v>5.95</v>
      </c>
      <c r="BL14" s="45">
        <v>5.97</v>
      </c>
      <c r="BM14" s="48">
        <f t="shared" si="45"/>
        <v>9.8666666666666666E-2</v>
      </c>
      <c r="BN14" s="48">
        <f t="shared" si="19"/>
        <v>9.9333333333333329E-2</v>
      </c>
      <c r="BO14" s="48">
        <f t="shared" si="20"/>
        <v>9.9666666666666667E-2</v>
      </c>
      <c r="BP14" s="48">
        <f t="shared" si="21"/>
        <v>9.9166666666666667E-2</v>
      </c>
      <c r="BQ14" s="48">
        <f t="shared" si="22"/>
        <v>9.9499999999999991E-2</v>
      </c>
      <c r="BR14" s="49">
        <f t="shared" si="23"/>
        <v>50.675675675675677</v>
      </c>
      <c r="BS14" s="49">
        <f t="shared" si="24"/>
        <v>50.335570469798661</v>
      </c>
      <c r="BT14" s="49">
        <f t="shared" si="25"/>
        <v>50.167224080267559</v>
      </c>
      <c r="BU14" s="49">
        <f t="shared" si="26"/>
        <v>50.420168067226889</v>
      </c>
      <c r="BV14" s="49">
        <f t="shared" si="27"/>
        <v>50.251256281407038</v>
      </c>
      <c r="BW14" s="50">
        <f>(98800*BR14/1000000)/(8.314*$BR$79)</f>
        <v>2.0307129766173383E-3</v>
      </c>
      <c r="BX14" s="50">
        <f>(98800*BS14/1000000)/(8.314*$BR$79)</f>
        <v>2.0170840304655443E-3</v>
      </c>
      <c r="BY14" s="50">
        <f>(98800*BT14/1000000)/(8.314*$BR$79)</f>
        <v>2.0103379300292043E-3</v>
      </c>
      <c r="BZ14" s="50">
        <f>(98800*BU14/1000000)/(8.314*$BR$79)</f>
        <v>2.0204740876596039E-3</v>
      </c>
      <c r="CA14" s="50">
        <f>(98800*BV14/1000000)/(8.314*$BR$79)</f>
        <v>2.0137053302470092E-3</v>
      </c>
      <c r="CB14" s="52">
        <f>($BP$79-BW14)*10^(3)/60/$BI$35</f>
        <v>-8.5440457585243476E-2</v>
      </c>
      <c r="CC14" s="52">
        <f>($BP$79-BX14)*10^(3)/60/$BI$35</f>
        <v>7.1810565280730543E-2</v>
      </c>
      <c r="CD14" s="52">
        <f>($BP$79-BY14)*10^(3)/60/$BI$35</f>
        <v>0.14964719198362639</v>
      </c>
      <c r="CE14" s="52">
        <f>($BP$79-BZ14)*10^(3)/60/$BI$35</f>
        <v>3.2696025139278669E-2</v>
      </c>
      <c r="CF14" s="52">
        <f>($BP$79-CA14)*10^(3)/60/$BI$35</f>
        <v>0.1107940684367837</v>
      </c>
      <c r="CG14" s="45">
        <f t="shared" si="28"/>
        <v>8.0710086396584335E-2</v>
      </c>
      <c r="CJ14" s="45"/>
      <c r="CK14" s="47"/>
      <c r="CL14" s="45"/>
      <c r="CM14" s="45"/>
      <c r="CN14" s="45"/>
      <c r="CO14" s="48"/>
      <c r="CP14" s="48"/>
      <c r="CQ14" s="48"/>
      <c r="CR14" s="48"/>
      <c r="CS14" s="48"/>
      <c r="CT14" s="49"/>
      <c r="CU14" s="49"/>
      <c r="CV14" s="49"/>
      <c r="CW14" s="49"/>
      <c r="CX14" s="49"/>
      <c r="CY14" s="50"/>
      <c r="CZ14" s="50"/>
      <c r="DA14" s="50"/>
      <c r="DB14" s="50"/>
      <c r="DC14" s="50"/>
      <c r="DD14" s="52"/>
      <c r="DE14" s="52"/>
      <c r="DF14" s="52"/>
      <c r="DG14" s="52"/>
      <c r="DH14" s="52"/>
      <c r="DI14" s="45"/>
    </row>
    <row r="15" spans="1:151" x14ac:dyDescent="0.3">
      <c r="A15" s="6"/>
      <c r="B15" s="9"/>
      <c r="C15" s="6"/>
      <c r="D15" s="6"/>
      <c r="E15" s="6"/>
      <c r="F15" s="9"/>
      <c r="G15" s="9"/>
      <c r="H15" s="9"/>
      <c r="I15" s="9"/>
      <c r="J15" s="9"/>
      <c r="K15" s="6"/>
      <c r="L15" s="6"/>
      <c r="M15" s="6"/>
      <c r="N15" s="6"/>
      <c r="O15" s="6"/>
      <c r="P15" s="6"/>
      <c r="Q15" s="6"/>
      <c r="R15" s="6"/>
      <c r="S15" s="6"/>
      <c r="T15" s="39"/>
      <c r="U15" s="6"/>
      <c r="V15" s="6"/>
      <c r="W15" s="6"/>
      <c r="X15" s="6"/>
      <c r="Y15" s="6"/>
      <c r="Z15" s="7"/>
      <c r="AE15" s="45">
        <v>6.15</v>
      </c>
      <c r="AF15" s="47">
        <v>6.16</v>
      </c>
      <c r="AG15" s="45">
        <v>6.2</v>
      </c>
      <c r="AH15" s="45">
        <v>6.19</v>
      </c>
      <c r="AI15" s="45">
        <v>6.13</v>
      </c>
      <c r="AJ15" s="48">
        <f t="shared" si="8"/>
        <v>0.10250000000000001</v>
      </c>
      <c r="AK15" s="48">
        <f t="shared" si="9"/>
        <v>0.10266666666666667</v>
      </c>
      <c r="AL15" s="48">
        <f t="shared" si="10"/>
        <v>0.10333333333333333</v>
      </c>
      <c r="AM15" s="48">
        <f t="shared" si="11"/>
        <v>0.10316666666666667</v>
      </c>
      <c r="AN15" s="48">
        <f t="shared" si="12"/>
        <v>0.10216666666666667</v>
      </c>
      <c r="AO15" s="49">
        <f t="shared" si="13"/>
        <v>48.780487804878042</v>
      </c>
      <c r="AP15" s="49">
        <f t="shared" si="14"/>
        <v>48.701298701298697</v>
      </c>
      <c r="AQ15" s="49">
        <f t="shared" si="15"/>
        <v>48.387096774193552</v>
      </c>
      <c r="AR15" s="49">
        <f t="shared" si="16"/>
        <v>48.465266558966071</v>
      </c>
      <c r="AS15" s="49">
        <f t="shared" si="17"/>
        <v>48.939641109298528</v>
      </c>
      <c r="AT15" s="51">
        <f>(100000*AO15/1000000)/(8.314*$AP$80)</f>
        <v>2.0138220711815838E-3</v>
      </c>
      <c r="AU15" s="51">
        <f>(100000*AP15/1000000)/(8.314*$AP$80)</f>
        <v>2.0105528795075875E-3</v>
      </c>
      <c r="AV15" s="51">
        <f>(100000*AQ15/1000000)/(8.314*$AP$80)</f>
        <v>1.9975815706075391E-3</v>
      </c>
      <c r="AW15" s="51">
        <f>(100000*AR15/1000000)/(8.314*$AP$80)</f>
        <v>2.0008086813839646E-3</v>
      </c>
      <c r="AX15" s="51">
        <f>(100000*AS15/1000000)/(8.314*$AP$80)</f>
        <v>2.0203924531430246E-3</v>
      </c>
      <c r="AY15" s="52">
        <f>($AN$80-AT15)*10^(3)/60/$AF$35</f>
        <v>0.52939722818527979</v>
      </c>
      <c r="AZ15" s="52">
        <f>($AN$80-AU15)*10^(3)/60/$AF$35</f>
        <v>0.56711721980863639</v>
      </c>
      <c r="BA15" s="52">
        <f>($AN$80-AV15)*10^(3)/60/$AF$35</f>
        <v>0.71678041237871137</v>
      </c>
      <c r="BB15" s="52">
        <f>($AN$80-AW15)*10^(3)/60/$AF$35</f>
        <v>0.67954595089924297</v>
      </c>
      <c r="BC15" s="52">
        <f>($AN$80-AX15)*10^(3)/60/$AF$35</f>
        <v>0.45358804436803291</v>
      </c>
      <c r="BD15" s="45">
        <f t="shared" si="54"/>
        <v>9.6843935164995468E-2</v>
      </c>
      <c r="BH15" s="45">
        <v>5.94</v>
      </c>
      <c r="BI15" s="47">
        <v>5.96</v>
      </c>
      <c r="BJ15" s="45">
        <v>5.98</v>
      </c>
      <c r="BK15" s="45">
        <v>5.92</v>
      </c>
      <c r="BL15" s="45">
        <v>5.96</v>
      </c>
      <c r="BM15" s="48">
        <f t="shared" si="45"/>
        <v>9.9000000000000005E-2</v>
      </c>
      <c r="BN15" s="48">
        <f t="shared" si="19"/>
        <v>9.9333333333333329E-2</v>
      </c>
      <c r="BO15" s="48">
        <f t="shared" si="20"/>
        <v>9.9666666666666667E-2</v>
      </c>
      <c r="BP15" s="48">
        <f t="shared" si="21"/>
        <v>9.8666666666666666E-2</v>
      </c>
      <c r="BQ15" s="48">
        <f t="shared" si="22"/>
        <v>9.9333333333333329E-2</v>
      </c>
      <c r="BR15" s="49">
        <f t="shared" si="23"/>
        <v>50.505050505050505</v>
      </c>
      <c r="BS15" s="49">
        <f t="shared" si="24"/>
        <v>50.335570469798661</v>
      </c>
      <c r="BT15" s="49">
        <f t="shared" si="25"/>
        <v>50.167224080267559</v>
      </c>
      <c r="BU15" s="49">
        <f t="shared" si="26"/>
        <v>50.675675675675677</v>
      </c>
      <c r="BV15" s="49">
        <f t="shared" si="27"/>
        <v>50.335570469798661</v>
      </c>
      <c r="BW15" s="50">
        <f>(98800*BR15/1000000)/(8.314*$BR$80)</f>
        <v>2.0225115318520557E-3</v>
      </c>
      <c r="BX15" s="50">
        <f>(98800*BS15/1000000)/(8.314*$BR$80)</f>
        <v>2.0157245804028881E-3</v>
      </c>
      <c r="BY15" s="50">
        <f>(98800*BT15/1000000)/(8.314*$BR$80)</f>
        <v>2.0089830266222762E-3</v>
      </c>
      <c r="BZ15" s="50">
        <f>(98800*BU15/1000000)/(8.314*$BR$80)</f>
        <v>2.0293443410812858E-3</v>
      </c>
      <c r="CA15" s="50">
        <f>(98800*BV15/1000000)/(8.314*$BR$80)</f>
        <v>2.0157245804028881E-3</v>
      </c>
      <c r="CB15" s="52">
        <f>($BP$80-BW15)*10^(3)/60/$BI$35</f>
        <v>-6.545799156126921E-3</v>
      </c>
      <c r="CC15" s="52">
        <f>($BP$80-BX15)*10^(3)/60/$BI$35</f>
        <v>7.1762167258637821E-2</v>
      </c>
      <c r="CD15" s="52">
        <f>($BP$80-BY15)*10^(3)/60/$BI$35</f>
        <v>0.1495463345669551</v>
      </c>
      <c r="CE15" s="52">
        <f>($BP$80-BZ15)*10^(3)/60/$BI$35</f>
        <v>-8.5382873452078067E-2</v>
      </c>
      <c r="CF15" s="52">
        <f>($BP$80-CA15)*10^(3)/60/$BI$35</f>
        <v>7.1762167258637821E-2</v>
      </c>
      <c r="CG15" s="45">
        <f t="shared" si="28"/>
        <v>7.9881393951255902E-2</v>
      </c>
      <c r="CJ15" s="45"/>
      <c r="CK15" s="47"/>
      <c r="CL15" s="45"/>
      <c r="CM15" s="45"/>
      <c r="CN15" s="45"/>
      <c r="CO15" s="48"/>
      <c r="CP15" s="48"/>
      <c r="CQ15" s="48"/>
      <c r="CR15" s="48"/>
      <c r="CS15" s="48"/>
      <c r="CT15" s="49"/>
      <c r="CU15" s="49"/>
      <c r="CV15" s="49"/>
      <c r="CW15" s="49"/>
      <c r="CX15" s="49"/>
      <c r="CY15" s="50"/>
      <c r="CZ15" s="50"/>
      <c r="DA15" s="50"/>
      <c r="DB15" s="50"/>
      <c r="DC15" s="50"/>
      <c r="DD15" s="52"/>
      <c r="DE15" s="52"/>
      <c r="DF15" s="52"/>
      <c r="DG15" s="52"/>
      <c r="DH15" s="52"/>
      <c r="DI15" s="45"/>
    </row>
    <row r="16" spans="1:151" x14ac:dyDescent="0.3">
      <c r="A16" s="6"/>
      <c r="B16" s="9"/>
      <c r="C16" s="6"/>
      <c r="D16" s="6"/>
      <c r="E16" s="6"/>
      <c r="F16" s="9"/>
      <c r="G16" s="9"/>
      <c r="H16" s="9"/>
      <c r="I16" s="9"/>
      <c r="J16" s="9"/>
      <c r="K16" s="6"/>
      <c r="L16" s="6"/>
      <c r="M16" s="6"/>
      <c r="N16" s="6"/>
      <c r="O16" s="6"/>
      <c r="P16" s="6" t="s">
        <v>153</v>
      </c>
      <c r="Q16" s="6"/>
      <c r="R16" s="6"/>
      <c r="S16" s="6"/>
      <c r="T16" s="39"/>
      <c r="U16" s="6"/>
      <c r="V16" s="6"/>
      <c r="W16" s="6"/>
      <c r="X16" s="6"/>
      <c r="Y16" s="6"/>
      <c r="Z16" s="7"/>
      <c r="AE16" s="45">
        <v>6.18</v>
      </c>
      <c r="AF16" s="47">
        <v>6.15</v>
      </c>
      <c r="AG16" s="45">
        <v>6.28</v>
      </c>
      <c r="AH16" s="45">
        <v>6.31</v>
      </c>
      <c r="AI16" s="45">
        <v>6.15</v>
      </c>
      <c r="AJ16" s="48">
        <f t="shared" si="8"/>
        <v>0.10299999999999999</v>
      </c>
      <c r="AK16" s="48">
        <f t="shared" si="9"/>
        <v>0.10250000000000001</v>
      </c>
      <c r="AL16" s="48">
        <f t="shared" si="10"/>
        <v>0.10466666666666667</v>
      </c>
      <c r="AM16" s="48">
        <f t="shared" si="11"/>
        <v>0.10516666666666666</v>
      </c>
      <c r="AN16" s="48">
        <f t="shared" si="12"/>
        <v>0.10250000000000001</v>
      </c>
      <c r="AO16" s="49">
        <f t="shared" si="13"/>
        <v>48.543689320388353</v>
      </c>
      <c r="AP16" s="49">
        <f t="shared" si="14"/>
        <v>48.780487804878042</v>
      </c>
      <c r="AQ16" s="49">
        <f t="shared" si="15"/>
        <v>47.770700636942671</v>
      </c>
      <c r="AR16" s="49">
        <f t="shared" si="16"/>
        <v>47.543581616481781</v>
      </c>
      <c r="AS16" s="49">
        <f t="shared" si="17"/>
        <v>48.780487804878042</v>
      </c>
      <c r="AT16" s="51">
        <f>(100000*AO16/1000000)/(8.314*$AP$81)</f>
        <v>2.0081818429061879E-3</v>
      </c>
      <c r="AU16" s="51">
        <f>(100000*AP16/1000000)/(8.314*$AP$81)</f>
        <v>2.0179778518959741E-3</v>
      </c>
      <c r="AV16" s="51">
        <f>(100000*AQ16/1000000)/(8.314*$AP$81)</f>
        <v>1.9762044250255162E-3</v>
      </c>
      <c r="AW16" s="51">
        <f>(100000*AR16/1000000)/(8.314*$AP$81)</f>
        <v>1.966808841388311E-3</v>
      </c>
      <c r="AX16" s="51">
        <f>(100000*AS16/1000000)/(8.314*$AP$81)</f>
        <v>2.0179778518959741E-3</v>
      </c>
      <c r="AY16" s="52">
        <f>($AN$81-AT16)*10^(3)/60/$AF$35</f>
        <v>0.64351623320299201</v>
      </c>
      <c r="AZ16" s="52">
        <f>($AN$81-AU16)*10^(3)/60/$AF$35</f>
        <v>0.53048970741798906</v>
      </c>
      <c r="BA16" s="52">
        <f>($AN$81-AV16)*10^(3)/60/$AF$35</f>
        <v>1.0124722489024471</v>
      </c>
      <c r="BB16" s="52">
        <f>($AN$81-AW16)*10^(3)/60/$AF$35</f>
        <v>1.1208786598543927</v>
      </c>
      <c r="BC16" s="52">
        <f>($AN$81-AX16)*10^(3)/60/$AF$35</f>
        <v>0.53048970741798906</v>
      </c>
      <c r="BD16" s="45">
        <f t="shared" si="54"/>
        <v>0.2500430314810958</v>
      </c>
      <c r="BH16" s="45"/>
      <c r="BI16" s="47"/>
      <c r="BJ16" s="45"/>
      <c r="BK16" s="45"/>
      <c r="BL16" s="45"/>
      <c r="BM16" s="48"/>
      <c r="BN16" s="48"/>
      <c r="BO16" s="48"/>
      <c r="BP16" s="48"/>
      <c r="BQ16" s="48"/>
      <c r="BR16" s="49"/>
      <c r="BS16" s="49"/>
      <c r="BT16" s="49"/>
      <c r="BU16" s="49"/>
      <c r="BV16" s="49"/>
      <c r="BW16" s="50"/>
      <c r="BX16" s="51"/>
      <c r="BY16" s="51"/>
      <c r="BZ16" s="51"/>
      <c r="CA16" s="51"/>
      <c r="CB16" s="52"/>
      <c r="CC16" s="52"/>
      <c r="CD16" s="52"/>
      <c r="CE16" s="52"/>
      <c r="CF16" s="52"/>
      <c r="CG16" s="45"/>
    </row>
    <row r="17" spans="1:147" x14ac:dyDescent="0.3">
      <c r="A17" s="6"/>
      <c r="B17" s="9"/>
      <c r="C17" s="6"/>
      <c r="D17" s="6"/>
      <c r="E17" s="6"/>
      <c r="F17" s="9"/>
      <c r="G17" s="9"/>
      <c r="H17" s="9"/>
      <c r="I17" s="9"/>
      <c r="J17" s="9"/>
      <c r="K17" s="6"/>
      <c r="L17" s="6"/>
      <c r="M17" s="6"/>
      <c r="N17" s="6"/>
      <c r="O17" s="6"/>
      <c r="P17" s="6" t="s">
        <v>156</v>
      </c>
      <c r="Q17" s="6"/>
      <c r="R17" s="6"/>
      <c r="S17" s="6"/>
      <c r="T17" s="39"/>
      <c r="U17" s="6"/>
      <c r="V17" s="6"/>
      <c r="W17" s="6"/>
      <c r="X17" s="6"/>
      <c r="Y17" s="6"/>
      <c r="Z17" s="7"/>
      <c r="AE17" s="45">
        <v>6.17</v>
      </c>
      <c r="AF17" s="47">
        <v>6.15</v>
      </c>
      <c r="AG17" s="45">
        <v>6.17</v>
      </c>
      <c r="AH17" s="45">
        <v>6.17</v>
      </c>
      <c r="AI17" s="45">
        <v>6.08</v>
      </c>
      <c r="AJ17" s="48">
        <f t="shared" si="8"/>
        <v>0.10283333333333333</v>
      </c>
      <c r="AK17" s="48">
        <f t="shared" si="9"/>
        <v>0.10250000000000001</v>
      </c>
      <c r="AL17" s="48">
        <f t="shared" si="10"/>
        <v>0.10283333333333333</v>
      </c>
      <c r="AM17" s="48">
        <f t="shared" si="11"/>
        <v>0.10283333333333333</v>
      </c>
      <c r="AN17" s="48">
        <f t="shared" si="12"/>
        <v>0.10133333333333333</v>
      </c>
      <c r="AO17" s="49">
        <f t="shared" si="13"/>
        <v>48.622366288492707</v>
      </c>
      <c r="AP17" s="49">
        <f t="shared" si="14"/>
        <v>48.780487804878042</v>
      </c>
      <c r="AQ17" s="49">
        <f t="shared" si="15"/>
        <v>48.622366288492707</v>
      </c>
      <c r="AR17" s="49">
        <f t="shared" si="16"/>
        <v>48.622366288492707</v>
      </c>
      <c r="AS17" s="49">
        <f t="shared" si="17"/>
        <v>49.342105263157897</v>
      </c>
      <c r="AT17" s="51">
        <f>(100000*AO17/1000000)/(8.314*$AP$82)</f>
        <v>2.0211687917832599E-3</v>
      </c>
      <c r="AU17" s="51">
        <f>(100000*AP17/1000000)/(8.314*$AP$82)</f>
        <v>2.0277416984232056E-3</v>
      </c>
      <c r="AV17" s="51">
        <f>(100000*AQ17/1000000)/(8.314*$AP$82)</f>
        <v>2.0211687917832599E-3</v>
      </c>
      <c r="AW17" s="51">
        <f>(100000*AR17/1000000)/(8.314*$AP$82)</f>
        <v>2.0211687917832599E-3</v>
      </c>
      <c r="AX17" s="51">
        <f>(100000*AS17/1000000)/(8.314*$AP$82)</f>
        <v>2.0510874087668936E-3</v>
      </c>
      <c r="AY17" s="52">
        <f>($AN$82-AT17)*10^(3)/60/$AF$35</f>
        <v>0.60889475884817978</v>
      </c>
      <c r="AZ17" s="52">
        <f>($AN$82-AU17)*10^(3)/60/$AF$35</f>
        <v>0.53305644524548357</v>
      </c>
      <c r="BA17" s="52">
        <f>($AN$82-AV17)*10^(3)/60/$AF$35</f>
        <v>0.60889475884817978</v>
      </c>
      <c r="BB17" s="52">
        <f>($AN$82-AW17)*10^(3)/60/$AF$35</f>
        <v>0.60889475884817978</v>
      </c>
      <c r="BC17" s="52">
        <f>($AN$82-AX17)*10^(3)/60/$AF$35</f>
        <v>0.26369322448065047</v>
      </c>
      <c r="BD17" s="45">
        <f t="shared" si="54"/>
        <v>0.13376145814399568</v>
      </c>
      <c r="BH17" s="45"/>
      <c r="BI17" s="47"/>
      <c r="BJ17" s="45"/>
      <c r="BK17" s="45"/>
      <c r="BL17" s="45"/>
      <c r="BM17" s="48"/>
      <c r="BN17" s="48"/>
      <c r="BO17" s="48"/>
      <c r="BP17" s="48"/>
      <c r="BQ17" s="48"/>
      <c r="BR17" s="49"/>
      <c r="BS17" s="49"/>
      <c r="BT17" s="49"/>
      <c r="BU17" s="49"/>
      <c r="BV17" s="49"/>
      <c r="BW17" s="50"/>
      <c r="BX17" s="51"/>
      <c r="BY17" s="51"/>
      <c r="BZ17" s="51"/>
      <c r="CA17" s="51"/>
      <c r="CB17" s="52"/>
      <c r="CC17" s="52"/>
      <c r="CD17" s="52"/>
      <c r="CE17" s="52"/>
      <c r="CF17" s="52"/>
      <c r="CG17" s="45"/>
    </row>
    <row r="18" spans="1:147" x14ac:dyDescent="0.3">
      <c r="A18" s="6"/>
      <c r="B18" s="9"/>
      <c r="C18" s="6"/>
      <c r="D18" s="6"/>
      <c r="E18" s="6"/>
      <c r="F18" s="9"/>
      <c r="G18" s="9"/>
      <c r="H18" s="9"/>
      <c r="I18" s="9"/>
      <c r="J18" s="9"/>
      <c r="K18" s="6"/>
      <c r="L18" s="6"/>
      <c r="M18" s="6"/>
      <c r="N18" s="6"/>
      <c r="O18" s="6"/>
      <c r="P18" s="6" t="s">
        <v>155</v>
      </c>
      <c r="Q18" s="6"/>
      <c r="R18" s="6"/>
      <c r="S18" s="6"/>
      <c r="T18" s="39"/>
      <c r="U18" s="6"/>
      <c r="V18" s="6"/>
      <c r="W18" s="6"/>
      <c r="X18" s="6"/>
      <c r="Y18" s="6"/>
      <c r="Z18" s="7"/>
      <c r="AE18" s="45">
        <v>6.1</v>
      </c>
      <c r="AF18" s="47">
        <v>6.14</v>
      </c>
      <c r="AG18" s="45">
        <v>6.13</v>
      </c>
      <c r="AH18" s="45">
        <v>6.15</v>
      </c>
      <c r="AI18" s="45">
        <v>6.13</v>
      </c>
      <c r="AJ18" s="48">
        <f t="shared" si="8"/>
        <v>0.10166666666666666</v>
      </c>
      <c r="AK18" s="48">
        <f t="shared" si="9"/>
        <v>0.10233333333333333</v>
      </c>
      <c r="AL18" s="48">
        <f t="shared" si="10"/>
        <v>0.10216666666666667</v>
      </c>
      <c r="AM18" s="48">
        <f t="shared" si="11"/>
        <v>0.10250000000000001</v>
      </c>
      <c r="AN18" s="48">
        <f t="shared" si="12"/>
        <v>0.10216666666666667</v>
      </c>
      <c r="AO18" s="49">
        <f t="shared" si="13"/>
        <v>49.180327868852466</v>
      </c>
      <c r="AP18" s="49">
        <f t="shared" si="14"/>
        <v>48.859934853420199</v>
      </c>
      <c r="AQ18" s="49">
        <f t="shared" si="15"/>
        <v>48.939641109298528</v>
      </c>
      <c r="AR18" s="49">
        <f t="shared" si="16"/>
        <v>48.780487804878042</v>
      </c>
      <c r="AS18" s="49">
        <f t="shared" si="17"/>
        <v>48.939641109298528</v>
      </c>
      <c r="AT18" s="51">
        <f>(100000*AO18/1000000)/(8.314*$AP$83)</f>
        <v>2.0233839529299551E-3</v>
      </c>
      <c r="AU18" s="51">
        <f>(100000*AP18/1000000)/(8.314*$AP$83)</f>
        <v>2.0102022985134731E-3</v>
      </c>
      <c r="AV18" s="51">
        <f>(100000*AQ18/1000000)/(8.314*$AP$83)</f>
        <v>2.0134815844816837E-3</v>
      </c>
      <c r="AW18" s="51">
        <f>(100000*AR18/1000000)/(8.314*$AP$83)</f>
        <v>2.0069336768898734E-3</v>
      </c>
      <c r="AX18" s="51">
        <f>(100000*AS18/1000000)/(8.314*$AP$83)</f>
        <v>2.0134815844816837E-3</v>
      </c>
      <c r="AY18" s="52">
        <f>($AN$83-AT18)*10^(3)/60/$AF$35</f>
        <v>0.33778281725102433</v>
      </c>
      <c r="AZ18" s="52">
        <f>($AN$83-AU18)*10^(3)/60/$AF$35</f>
        <v>0.48987298012724528</v>
      </c>
      <c r="BA18" s="52">
        <f>($AN$83-AV18)*10^(3)/60/$AF$35</f>
        <v>0.45203652035788322</v>
      </c>
      <c r="BB18" s="52">
        <f>($AN$83-AW18)*10^(3)/60/$AF$35</f>
        <v>0.52758639449899625</v>
      </c>
      <c r="BC18" s="52">
        <f>($AN$83-AX18)*10^(3)/60/$AF$35</f>
        <v>0.45203652035788322</v>
      </c>
      <c r="BD18" s="45">
        <f t="shared" si="54"/>
        <v>6.355019965095679E-2</v>
      </c>
      <c r="BH18" s="45"/>
      <c r="BI18" s="47"/>
      <c r="BJ18" s="45"/>
      <c r="BK18" s="45"/>
      <c r="BL18" s="45"/>
      <c r="BM18" s="48"/>
      <c r="BN18" s="48"/>
      <c r="BO18" s="48"/>
      <c r="BP18" s="48"/>
      <c r="BQ18" s="48"/>
      <c r="BR18" s="49"/>
      <c r="BS18" s="49"/>
      <c r="BT18" s="49"/>
      <c r="BU18" s="49"/>
      <c r="BV18" s="49"/>
      <c r="BW18" s="50"/>
      <c r="BX18" s="51"/>
      <c r="BY18" s="51"/>
      <c r="BZ18" s="51"/>
      <c r="CA18" s="51"/>
      <c r="CB18" s="52"/>
      <c r="CC18" s="52"/>
      <c r="CD18" s="52"/>
      <c r="CE18" s="52"/>
      <c r="CF18" s="52"/>
      <c r="CG18" s="45"/>
    </row>
    <row r="19" spans="1:147" x14ac:dyDescent="0.3">
      <c r="A19" s="6"/>
      <c r="B19" s="9"/>
      <c r="C19" s="6"/>
      <c r="D19" s="6"/>
      <c r="E19" s="6"/>
      <c r="F19" s="9"/>
      <c r="G19" s="9"/>
      <c r="H19" s="9"/>
      <c r="I19" s="9"/>
      <c r="J19" s="9"/>
      <c r="K19" s="6"/>
      <c r="L19" s="6"/>
      <c r="M19" s="6"/>
      <c r="N19" s="6"/>
      <c r="O19" s="6"/>
      <c r="P19" s="6">
        <f>(100000*$C$28/1000000)/(8.314*$J$64)</f>
        <v>2.099608194959707E-3</v>
      </c>
      <c r="Q19" s="6"/>
      <c r="R19" s="6"/>
      <c r="S19" s="6"/>
      <c r="T19" s="39"/>
      <c r="U19" s="6"/>
      <c r="V19" s="6"/>
      <c r="W19" s="6"/>
      <c r="X19" s="6"/>
      <c r="Y19" s="6"/>
      <c r="Z19" s="7"/>
      <c r="AE19" s="45">
        <v>6.13</v>
      </c>
      <c r="AF19" s="45">
        <v>6.04</v>
      </c>
      <c r="AG19" s="45">
        <v>5.97</v>
      </c>
      <c r="AH19" s="45">
        <v>6.18</v>
      </c>
      <c r="AI19" s="45">
        <v>6.11</v>
      </c>
      <c r="AJ19" s="48">
        <f t="shared" si="8"/>
        <v>0.10216666666666667</v>
      </c>
      <c r="AK19" s="48">
        <f t="shared" si="9"/>
        <v>0.10066666666666667</v>
      </c>
      <c r="AL19" s="48">
        <f t="shared" si="10"/>
        <v>9.9499999999999991E-2</v>
      </c>
      <c r="AM19" s="48">
        <f t="shared" si="11"/>
        <v>0.10299999999999999</v>
      </c>
      <c r="AN19" s="48">
        <f t="shared" si="12"/>
        <v>0.10183333333333335</v>
      </c>
      <c r="AO19" s="49">
        <f t="shared" si="13"/>
        <v>48.939641109298528</v>
      </c>
      <c r="AP19" s="49">
        <f t="shared" si="14"/>
        <v>49.668874172185433</v>
      </c>
      <c r="AQ19" s="49">
        <f t="shared" si="15"/>
        <v>50.251256281407038</v>
      </c>
      <c r="AR19" s="49">
        <f t="shared" si="16"/>
        <v>48.543689320388353</v>
      </c>
      <c r="AS19" s="49">
        <f t="shared" si="17"/>
        <v>49.099836333878883</v>
      </c>
      <c r="AT19" s="51">
        <f>(100000*AO19/1000000)/(8.314*$AP$84)</f>
        <v>2.0169310989317122E-3</v>
      </c>
      <c r="AU19" s="51">
        <f>(100000*AP19/1000000)/(8.314*$AP$84)</f>
        <v>2.0469847080217553E-3</v>
      </c>
      <c r="AV19" s="51">
        <f>(100000*AQ19/1000000)/(8.314*$AP$84)</f>
        <v>2.0709862037607035E-3</v>
      </c>
      <c r="AW19" s="51">
        <f>(100000*AR19/1000000)/(8.314*$AP$84)</f>
        <v>2.0006128861571847E-3</v>
      </c>
      <c r="AX19" s="51">
        <f>(100000*AS19/1000000)/(8.314*$AP$84)</f>
        <v>2.0235331647219966E-3</v>
      </c>
      <c r="AY19" s="52">
        <f>($AN$84-AT19)*10^(3)/60/$AF$35</f>
        <v>0.4528109533206342</v>
      </c>
      <c r="AZ19" s="52">
        <f>($AN$84-AU19)*10^(3)/60/$AF$35</f>
        <v>0.10605187763074039</v>
      </c>
      <c r="BA19" s="52">
        <f>($AN$84-AV19)*10^(3)/60/$AF$35</f>
        <v>-0.1708778066769579</v>
      </c>
      <c r="BB19" s="52">
        <f>($AN$84-AW19)*10^(3)/60/$AF$35</f>
        <v>0.6410907822640699</v>
      </c>
      <c r="BC19" s="52">
        <f>($AN$84-AX19)*10^(3)/60/$AF$35</f>
        <v>0.37663620092321498</v>
      </c>
      <c r="BD19" s="45">
        <f>_xlfn.STDEV.P(AY19:BC19)</f>
        <v>0.28394751429667525</v>
      </c>
      <c r="BH19" s="45"/>
      <c r="BI19" s="45"/>
      <c r="BJ19" s="45"/>
      <c r="BK19" s="45"/>
      <c r="BL19" s="45"/>
      <c r="BM19" s="48"/>
      <c r="BN19" s="48"/>
      <c r="BO19" s="48"/>
      <c r="BP19" s="48"/>
      <c r="BQ19" s="48"/>
      <c r="BR19" s="49"/>
      <c r="BS19" s="49"/>
      <c r="BT19" s="49"/>
      <c r="BU19" s="49"/>
      <c r="BV19" s="49"/>
      <c r="BW19" s="50"/>
      <c r="BX19" s="51"/>
      <c r="BY19" s="51"/>
      <c r="BZ19" s="51"/>
      <c r="CA19" s="51"/>
      <c r="CB19" s="52"/>
      <c r="CC19" s="52"/>
      <c r="CD19" s="52"/>
      <c r="CE19" s="52"/>
      <c r="CF19" s="52"/>
      <c r="CG19" s="45"/>
    </row>
    <row r="20" spans="1:147" x14ac:dyDescent="0.3">
      <c r="A20" s="6"/>
      <c r="B20" s="9"/>
      <c r="C20" s="6"/>
      <c r="D20" s="6"/>
      <c r="E20" s="6"/>
      <c r="F20" s="9"/>
      <c r="G20" s="9"/>
      <c r="H20" s="9"/>
      <c r="I20" s="9"/>
      <c r="J20" s="9"/>
      <c r="K20" s="6"/>
      <c r="L20" s="6"/>
      <c r="M20" s="6"/>
      <c r="N20" s="6"/>
      <c r="O20" s="6"/>
      <c r="P20" s="6"/>
      <c r="Q20" s="6"/>
      <c r="R20" s="6"/>
      <c r="S20" s="6"/>
      <c r="T20" s="39"/>
      <c r="U20" s="6"/>
      <c r="V20" s="6"/>
      <c r="W20" s="6"/>
      <c r="X20" s="6"/>
      <c r="Y20" s="6"/>
      <c r="Z20" s="7"/>
      <c r="AE20" s="45">
        <v>6.05</v>
      </c>
      <c r="AF20" s="45">
        <v>6</v>
      </c>
      <c r="AG20" s="45">
        <v>5.95</v>
      </c>
      <c r="AH20" s="45">
        <v>6.14</v>
      </c>
      <c r="AI20" s="45">
        <v>6.06</v>
      </c>
      <c r="AJ20" s="48">
        <f t="shared" si="8"/>
        <v>0.10083333333333333</v>
      </c>
      <c r="AK20" s="48">
        <f t="shared" si="9"/>
        <v>0.1</v>
      </c>
      <c r="AL20" s="48">
        <f t="shared" si="10"/>
        <v>9.9166666666666667E-2</v>
      </c>
      <c r="AM20" s="48">
        <f t="shared" si="11"/>
        <v>0.10233333333333333</v>
      </c>
      <c r="AN20" s="48">
        <f t="shared" si="12"/>
        <v>0.10099999999999999</v>
      </c>
      <c r="AO20" s="49">
        <f t="shared" si="13"/>
        <v>49.586776859504134</v>
      </c>
      <c r="AP20" s="49">
        <f t="shared" si="14"/>
        <v>50</v>
      </c>
      <c r="AQ20" s="49">
        <f t="shared" si="15"/>
        <v>50.420168067226889</v>
      </c>
      <c r="AR20" s="49">
        <f t="shared" si="16"/>
        <v>48.859934853420199</v>
      </c>
      <c r="AS20" s="49">
        <f t="shared" si="17"/>
        <v>49.504950495049506</v>
      </c>
      <c r="AT20" s="51">
        <f>(100000*AO20/1000000)/(8.314*$AP$85)</f>
        <v>2.0429012789172493E-3</v>
      </c>
      <c r="AU20" s="51">
        <f>(100000*AP20/1000000)/(8.314*$AP$85)</f>
        <v>2.0599254562415595E-3</v>
      </c>
      <c r="AV20" s="51">
        <f>(100000*AQ20/1000000)/(8.314*$AP$85)</f>
        <v>2.0772357541931695E-3</v>
      </c>
      <c r="AW20" s="51">
        <f>(100000*AR20/1000000)/(8.314*$AP$85)</f>
        <v>2.0129564718972897E-3</v>
      </c>
      <c r="AX20" s="51">
        <f>(100000*AS20/1000000)/(8.314*$AP$85)</f>
        <v>2.0395301546946134E-3</v>
      </c>
      <c r="AY20" s="52">
        <f>($AN$85-AT20)*10^(3)/60/$AF$35</f>
        <v>0.14504043845913842</v>
      </c>
      <c r="AZ20" s="52">
        <f>($AN$85-AU20)*10^(3)/60/$AF$35</f>
        <v>-5.138482200365397E-2</v>
      </c>
      <c r="BA20" s="52">
        <f>($AN$85-AV20)*10^(3)/60/$AF$35</f>
        <v>-0.25111134734817897</v>
      </c>
      <c r="BB20" s="52">
        <f>($AN$85-AW20)*10^(3)/60/$AF$35</f>
        <v>0.49054415393115414</v>
      </c>
      <c r="BC20" s="52">
        <f>($AN$85-AX20)*10^(3)/60/$AF$35</f>
        <v>0.18393652963989215</v>
      </c>
      <c r="BD20" s="45">
        <f>_xlfn.STDEV.P(AY20:BC20)</f>
        <v>0.24808760188343654</v>
      </c>
      <c r="BH20" s="45"/>
      <c r="BI20" s="45"/>
      <c r="BJ20" s="45"/>
      <c r="BK20" s="45"/>
      <c r="BL20" s="45"/>
      <c r="BM20" s="48"/>
      <c r="BN20" s="48"/>
      <c r="BO20" s="48"/>
      <c r="BP20" s="48"/>
      <c r="BQ20" s="48"/>
      <c r="BR20" s="49"/>
      <c r="BS20" s="49"/>
      <c r="BT20" s="49"/>
      <c r="BU20" s="49"/>
      <c r="BV20" s="49"/>
      <c r="BW20" s="50"/>
      <c r="BX20" s="51"/>
      <c r="BY20" s="51"/>
      <c r="BZ20" s="51"/>
      <c r="CA20" s="51"/>
      <c r="CB20" s="52"/>
      <c r="CC20" s="52"/>
      <c r="CD20" s="52"/>
      <c r="CE20" s="52"/>
      <c r="CF20" s="52"/>
      <c r="CG20" s="45"/>
    </row>
    <row r="21" spans="1:147" x14ac:dyDescent="0.3">
      <c r="A21" s="6"/>
      <c r="B21" s="9"/>
      <c r="C21" s="6"/>
      <c r="D21" s="6"/>
      <c r="E21" s="6"/>
      <c r="F21" s="9"/>
      <c r="G21" s="9"/>
      <c r="H21" s="9"/>
      <c r="I21" s="9"/>
      <c r="J21" s="9"/>
      <c r="K21" s="6"/>
      <c r="L21" s="6"/>
      <c r="M21" s="6"/>
      <c r="N21" s="6"/>
      <c r="O21" s="6"/>
      <c r="P21" s="6"/>
      <c r="Q21" s="6"/>
      <c r="R21" s="6"/>
      <c r="S21" s="6"/>
      <c r="T21" s="39"/>
      <c r="U21" s="6"/>
      <c r="V21" s="6"/>
      <c r="W21" s="6"/>
      <c r="X21" s="6"/>
      <c r="Y21" s="6"/>
      <c r="Z21" s="7"/>
      <c r="AE21" s="45">
        <v>6.01</v>
      </c>
      <c r="AF21" s="45">
        <v>6.03</v>
      </c>
      <c r="AG21" s="45">
        <v>6.08</v>
      </c>
      <c r="AH21" s="45">
        <v>6.05</v>
      </c>
      <c r="AI21" s="45">
        <v>6.06</v>
      </c>
      <c r="AJ21" s="48">
        <f t="shared" si="8"/>
        <v>0.10016666666666667</v>
      </c>
      <c r="AK21" s="48">
        <f t="shared" si="9"/>
        <v>0.10050000000000001</v>
      </c>
      <c r="AL21" s="48">
        <f t="shared" si="10"/>
        <v>0.10133333333333333</v>
      </c>
      <c r="AM21" s="48">
        <f t="shared" si="11"/>
        <v>0.10083333333333333</v>
      </c>
      <c r="AN21" s="48">
        <f t="shared" si="12"/>
        <v>0.10099999999999999</v>
      </c>
      <c r="AO21" s="49">
        <f t="shared" si="13"/>
        <v>49.916805324459233</v>
      </c>
      <c r="AP21" s="49">
        <f t="shared" si="14"/>
        <v>49.751243781094523</v>
      </c>
      <c r="AQ21" s="49">
        <f t="shared" si="15"/>
        <v>49.342105263157897</v>
      </c>
      <c r="AR21" s="49">
        <f t="shared" si="16"/>
        <v>49.586776859504134</v>
      </c>
      <c r="AS21" s="49">
        <f t="shared" si="17"/>
        <v>49.504950495049506</v>
      </c>
      <c r="AT21" s="51">
        <f>(100000*AO21/1000000)/(8.314*$AP$86)</f>
        <v>2.0908743838325876E-3</v>
      </c>
      <c r="AU21" s="51">
        <f>(100000*AP21/1000000)/(8.314*$AP$86)</f>
        <v>2.0839394770868738E-3</v>
      </c>
      <c r="AV21" s="51">
        <f>(100000*AQ21/1000000)/(8.314*$AP$86)</f>
        <v>2.0668018169134623E-3</v>
      </c>
      <c r="AW21" s="51">
        <f>(100000*AR21/1000000)/(8.314*$AP$86)</f>
        <v>2.077050420964273E-3</v>
      </c>
      <c r="AX21" s="51">
        <f>(100000*AS21/1000000)/(8.314*$AP$86)</f>
        <v>2.0736229450220877E-3</v>
      </c>
      <c r="AY21" s="52">
        <f>($AN$86-AT21)*10^(3)/60/$AF$35</f>
        <v>-1.20361944748685E-2</v>
      </c>
      <c r="AZ21" s="52">
        <f>($AN$86-AU21)*10^(3)/60/$AF$35</f>
        <v>6.797888278039603E-2</v>
      </c>
      <c r="BA21" s="52">
        <f>($AN$86-AV21)*10^(3)/60/$AF$35</f>
        <v>0.26571351037254515</v>
      </c>
      <c r="BB21" s="52">
        <f>($AN$86-AW21)*10^(3)/60/$AF$35</f>
        <v>0.14746493473148478</v>
      </c>
      <c r="BC21" s="52">
        <f>($AN$86-AX21)*10^(3)/60/$AF$35</f>
        <v>0.18701121305368695</v>
      </c>
      <c r="BD21" s="45">
        <f>_xlfn.STDEV.P(AY21:BC21)</f>
        <v>9.5902906779834665E-2</v>
      </c>
      <c r="BH21" s="45"/>
      <c r="BI21" s="45"/>
      <c r="BJ21" s="45"/>
      <c r="BK21" s="45"/>
      <c r="BL21" s="45"/>
      <c r="BM21" s="48"/>
      <c r="BN21" s="48"/>
      <c r="BO21" s="48"/>
      <c r="BP21" s="48"/>
      <c r="BQ21" s="48"/>
      <c r="BR21" s="49"/>
      <c r="BS21" s="49"/>
      <c r="BT21" s="49"/>
      <c r="BU21" s="49"/>
      <c r="BV21" s="49"/>
      <c r="BW21" s="50"/>
      <c r="BX21" s="51"/>
      <c r="BY21" s="51"/>
      <c r="BZ21" s="51"/>
      <c r="CA21" s="51"/>
      <c r="CB21" s="52"/>
      <c r="CC21" s="52"/>
      <c r="CD21" s="52"/>
      <c r="CE21" s="52"/>
      <c r="CF21" s="52"/>
      <c r="CG21" s="45"/>
    </row>
    <row r="22" spans="1:147" x14ac:dyDescent="0.3"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 t="s">
        <v>153</v>
      </c>
      <c r="AP22" s="6" t="s">
        <v>156</v>
      </c>
      <c r="AQ22" s="6"/>
      <c r="AR22" s="6" t="s">
        <v>155</v>
      </c>
      <c r="AS22" s="6">
        <f>(100000*$AG$28/1000000)/(8.314*$AP$70)</f>
        <v>2.0753762097496698E-3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</row>
    <row r="25" spans="1:147" x14ac:dyDescent="0.3">
      <c r="A25" s="1" t="s">
        <v>0</v>
      </c>
      <c r="B25" s="1">
        <v>50</v>
      </c>
      <c r="C25" s="1" t="s">
        <v>1</v>
      </c>
      <c r="G25" s="1" t="s">
        <v>9</v>
      </c>
      <c r="H25" s="1">
        <v>4.55</v>
      </c>
      <c r="I25" s="1" t="s">
        <v>1</v>
      </c>
      <c r="K25" s="1" t="s">
        <v>24</v>
      </c>
      <c r="L25" s="1">
        <v>100</v>
      </c>
      <c r="M25" s="1" t="s">
        <v>5</v>
      </c>
      <c r="O25" t="s">
        <v>147</v>
      </c>
      <c r="AE25" s="1" t="s">
        <v>0</v>
      </c>
      <c r="AF25" s="1">
        <v>50</v>
      </c>
      <c r="AG25" s="1" t="s">
        <v>1</v>
      </c>
      <c r="AK25" s="1" t="s">
        <v>9</v>
      </c>
      <c r="AL25" s="1">
        <v>4.55</v>
      </c>
      <c r="AM25" s="1" t="s">
        <v>1</v>
      </c>
      <c r="AO25" s="1" t="s">
        <v>24</v>
      </c>
      <c r="AP25" s="1">
        <v>100</v>
      </c>
      <c r="AQ25" s="1" t="s">
        <v>5</v>
      </c>
      <c r="AS25" t="s">
        <v>69</v>
      </c>
      <c r="BH25" s="1" t="s">
        <v>0</v>
      </c>
      <c r="BI25" s="1">
        <v>50</v>
      </c>
      <c r="BJ25" s="1" t="s">
        <v>1</v>
      </c>
      <c r="BN25" s="1" t="s">
        <v>9</v>
      </c>
      <c r="BO25" s="1">
        <v>4.55</v>
      </c>
      <c r="BP25" s="1" t="s">
        <v>1</v>
      </c>
      <c r="BR25" s="1" t="s">
        <v>24</v>
      </c>
      <c r="BS25" s="1">
        <v>100</v>
      </c>
      <c r="BT25" s="1" t="s">
        <v>5</v>
      </c>
      <c r="BV25" t="s">
        <v>173</v>
      </c>
      <c r="CJ25" s="1" t="s">
        <v>0</v>
      </c>
      <c r="CK25" s="1">
        <v>50</v>
      </c>
      <c r="CL25" s="1" t="s">
        <v>1</v>
      </c>
      <c r="CP25" s="1" t="s">
        <v>9</v>
      </c>
      <c r="CQ25" s="1">
        <v>4.55</v>
      </c>
      <c r="CR25" s="1" t="s">
        <v>1</v>
      </c>
      <c r="CT25" s="1" t="s">
        <v>24</v>
      </c>
      <c r="CU25" s="1">
        <v>100</v>
      </c>
      <c r="CV25" s="1" t="s">
        <v>5</v>
      </c>
      <c r="CX25" t="s">
        <v>174</v>
      </c>
      <c r="DV25" s="1" t="s">
        <v>0</v>
      </c>
      <c r="DW25" s="1">
        <v>50</v>
      </c>
      <c r="DX25" s="1" t="s">
        <v>1</v>
      </c>
      <c r="EB25" s="1" t="s">
        <v>9</v>
      </c>
      <c r="EC25" s="1">
        <v>4.55</v>
      </c>
      <c r="ED25" s="1" t="s">
        <v>1</v>
      </c>
      <c r="EF25" s="1" t="s">
        <v>24</v>
      </c>
      <c r="EG25" s="1">
        <v>100</v>
      </c>
      <c r="EH25" s="1" t="s">
        <v>5</v>
      </c>
      <c r="EJ25" t="s">
        <v>175</v>
      </c>
    </row>
    <row r="26" spans="1:147" x14ac:dyDescent="0.3">
      <c r="A26" t="s">
        <v>2</v>
      </c>
      <c r="B26" t="s">
        <v>3</v>
      </c>
      <c r="C26">
        <v>11.93</v>
      </c>
      <c r="D26">
        <v>11.96</v>
      </c>
      <c r="E26">
        <v>11.96</v>
      </c>
      <c r="F26">
        <v>12.03</v>
      </c>
      <c r="O26" s="23">
        <v>42481</v>
      </c>
      <c r="Q26" t="s">
        <v>151</v>
      </c>
      <c r="T26" t="s">
        <v>152</v>
      </c>
      <c r="AE26" t="s">
        <v>2</v>
      </c>
      <c r="AF26" t="s">
        <v>3</v>
      </c>
      <c r="AG26">
        <v>12.09</v>
      </c>
      <c r="AH26">
        <v>11.98</v>
      </c>
      <c r="AI26">
        <v>12.05</v>
      </c>
      <c r="AJ26">
        <v>11.98</v>
      </c>
      <c r="AK26">
        <v>12.03</v>
      </c>
      <c r="AS26" s="23">
        <v>42486</v>
      </c>
      <c r="AW26" t="s">
        <v>151</v>
      </c>
      <c r="AZ26" t="s">
        <v>152</v>
      </c>
      <c r="BH26" t="s">
        <v>2</v>
      </c>
      <c r="BI26" t="s">
        <v>3</v>
      </c>
      <c r="BJ26">
        <v>11.94</v>
      </c>
      <c r="BK26">
        <v>11.96</v>
      </c>
      <c r="BL26">
        <v>11.9</v>
      </c>
      <c r="BM26">
        <v>11.87</v>
      </c>
      <c r="BN26">
        <v>11.82</v>
      </c>
      <c r="BO26">
        <v>11.81</v>
      </c>
      <c r="BV26" s="23">
        <v>42499</v>
      </c>
      <c r="BZ26" t="s">
        <v>151</v>
      </c>
      <c r="CC26" t="s">
        <v>152</v>
      </c>
      <c r="CJ26" t="s">
        <v>2</v>
      </c>
      <c r="CK26" t="s">
        <v>3</v>
      </c>
      <c r="CL26">
        <v>11.96</v>
      </c>
      <c r="CM26">
        <v>11.9</v>
      </c>
      <c r="CN26">
        <v>11.84</v>
      </c>
      <c r="CO26">
        <v>11.93</v>
      </c>
      <c r="CP26">
        <v>11.91</v>
      </c>
      <c r="CQ26">
        <v>11.84</v>
      </c>
      <c r="CX26" s="23">
        <v>42502</v>
      </c>
      <c r="DB26" t="s">
        <v>151</v>
      </c>
      <c r="DE26" t="s">
        <v>152</v>
      </c>
      <c r="DV26" t="s">
        <v>2</v>
      </c>
      <c r="DW26" t="s">
        <v>3</v>
      </c>
      <c r="DX26">
        <v>11.87</v>
      </c>
      <c r="DY26">
        <v>11.85</v>
      </c>
      <c r="DZ26">
        <v>11.96</v>
      </c>
      <c r="EA26">
        <v>11.92</v>
      </c>
      <c r="EB26">
        <v>11.83</v>
      </c>
      <c r="EC26">
        <v>11.97</v>
      </c>
      <c r="EJ26" s="23">
        <v>42503</v>
      </c>
      <c r="EN26" t="s">
        <v>151</v>
      </c>
      <c r="EQ26" t="s">
        <v>152</v>
      </c>
    </row>
    <row r="27" spans="1:147" x14ac:dyDescent="0.3">
      <c r="A27" t="s">
        <v>7</v>
      </c>
      <c r="B27" t="s">
        <v>6</v>
      </c>
      <c r="C27">
        <f>SUM(C26:F26)/4/60</f>
        <v>0.19950000000000001</v>
      </c>
      <c r="F27" t="s">
        <v>25</v>
      </c>
      <c r="Q27" t="s">
        <v>148</v>
      </c>
      <c r="R27" t="s">
        <v>149</v>
      </c>
      <c r="S27" t="s">
        <v>150</v>
      </c>
      <c r="T27" t="s">
        <v>148</v>
      </c>
      <c r="AE27" t="s">
        <v>7</v>
      </c>
      <c r="AF27" t="s">
        <v>6</v>
      </c>
      <c r="AG27">
        <f>SUM(AG26:AK26)/5/60</f>
        <v>0.20043333333333335</v>
      </c>
      <c r="AJ27" t="s">
        <v>25</v>
      </c>
      <c r="AW27" t="s">
        <v>148</v>
      </c>
      <c r="AX27" t="s">
        <v>149</v>
      </c>
      <c r="AY27" t="s">
        <v>150</v>
      </c>
      <c r="AZ27" t="s">
        <v>148</v>
      </c>
      <c r="BH27" t="s">
        <v>7</v>
      </c>
      <c r="BI27" t="s">
        <v>6</v>
      </c>
      <c r="BJ27">
        <f>SUM(BJ26:BO26)/6/60</f>
        <v>0.19805555555555554</v>
      </c>
      <c r="BM27" t="s">
        <v>25</v>
      </c>
      <c r="BZ27" t="s">
        <v>148</v>
      </c>
      <c r="CA27" t="s">
        <v>149</v>
      </c>
      <c r="CB27" t="s">
        <v>150</v>
      </c>
      <c r="CC27" t="s">
        <v>148</v>
      </c>
      <c r="CJ27" t="s">
        <v>7</v>
      </c>
      <c r="CK27" t="s">
        <v>6</v>
      </c>
      <c r="CL27">
        <f>SUM(CL26:CQ26)/6/60</f>
        <v>0.1982777777777778</v>
      </c>
      <c r="CO27" t="s">
        <v>25</v>
      </c>
      <c r="DB27" t="s">
        <v>148</v>
      </c>
      <c r="DC27" t="s">
        <v>149</v>
      </c>
      <c r="DD27" t="s">
        <v>150</v>
      </c>
      <c r="DE27" t="s">
        <v>148</v>
      </c>
      <c r="DV27" t="s">
        <v>7</v>
      </c>
      <c r="DW27" t="s">
        <v>6</v>
      </c>
      <c r="DX27">
        <f>SUM(DX26:EC26)/6/60</f>
        <v>0.19833333333333333</v>
      </c>
      <c r="EA27" t="s">
        <v>25</v>
      </c>
      <c r="EN27" t="s">
        <v>148</v>
      </c>
      <c r="EO27" t="s">
        <v>149</v>
      </c>
      <c r="EP27" t="s">
        <v>150</v>
      </c>
      <c r="EQ27" t="s">
        <v>148</v>
      </c>
    </row>
    <row r="28" spans="1:147" x14ac:dyDescent="0.3">
      <c r="A28" t="s">
        <v>8</v>
      </c>
      <c r="B28" t="s">
        <v>1</v>
      </c>
      <c r="C28">
        <f>C29/C27</f>
        <v>50.125313283208015</v>
      </c>
      <c r="F28">
        <v>1</v>
      </c>
      <c r="G28" t="s">
        <v>13</v>
      </c>
      <c r="H28">
        <v>18.989999999999998</v>
      </c>
      <c r="I28">
        <v>21.24</v>
      </c>
      <c r="J28">
        <v>24.47</v>
      </c>
      <c r="K28">
        <v>26.3</v>
      </c>
      <c r="L28">
        <v>27.08</v>
      </c>
      <c r="M28">
        <v>24.38</v>
      </c>
      <c r="N28">
        <v>24.95</v>
      </c>
      <c r="Q28">
        <v>14</v>
      </c>
      <c r="R28">
        <v>14</v>
      </c>
      <c r="S28">
        <v>19</v>
      </c>
      <c r="T28">
        <f>Q28+273.15</f>
        <v>287.14999999999998</v>
      </c>
      <c r="AE28" t="s">
        <v>8</v>
      </c>
      <c r="AF28" t="s">
        <v>1</v>
      </c>
      <c r="AG28">
        <f>AG29/AG27</f>
        <v>49.891900881423581</v>
      </c>
      <c r="AJ28">
        <v>1</v>
      </c>
      <c r="AK28" t="s">
        <v>13</v>
      </c>
      <c r="AL28">
        <v>11.6</v>
      </c>
      <c r="AM28">
        <v>11.64</v>
      </c>
      <c r="AN28">
        <v>11.84</v>
      </c>
      <c r="AO28">
        <v>12.03</v>
      </c>
      <c r="AP28">
        <v>12.21</v>
      </c>
      <c r="AQ28">
        <v>12.6</v>
      </c>
      <c r="AR28">
        <v>12.67</v>
      </c>
      <c r="AS28">
        <v>12.71</v>
      </c>
      <c r="AT28">
        <v>12.65</v>
      </c>
      <c r="AU28">
        <v>12.2</v>
      </c>
      <c r="AW28">
        <v>16</v>
      </c>
      <c r="AX28">
        <v>12</v>
      </c>
      <c r="AY28">
        <v>19</v>
      </c>
      <c r="AZ28">
        <f>AW28+273.15</f>
        <v>289.14999999999998</v>
      </c>
      <c r="BH28" t="s">
        <v>8</v>
      </c>
      <c r="BI28" t="s">
        <v>1</v>
      </c>
      <c r="BJ28">
        <f>BJ29/BJ27</f>
        <v>50.490883590462836</v>
      </c>
      <c r="BM28">
        <v>1</v>
      </c>
      <c r="BN28" t="s">
        <v>13</v>
      </c>
      <c r="BO28">
        <v>7</v>
      </c>
      <c r="BP28">
        <v>6.76</v>
      </c>
      <c r="BQ28">
        <v>6.91</v>
      </c>
      <c r="BR28">
        <v>6.79</v>
      </c>
      <c r="BS28">
        <v>6.9</v>
      </c>
      <c r="BT28">
        <v>6.97</v>
      </c>
      <c r="BZ28">
        <v>26.5</v>
      </c>
      <c r="CA28">
        <v>21</v>
      </c>
      <c r="CB28">
        <v>21</v>
      </c>
      <c r="CC28">
        <f>BZ28+273.15</f>
        <v>299.64999999999998</v>
      </c>
      <c r="CJ28" t="s">
        <v>8</v>
      </c>
      <c r="CK28" t="s">
        <v>1</v>
      </c>
      <c r="CL28">
        <f>CL29/CL27</f>
        <v>50.434295320818151</v>
      </c>
      <c r="CO28">
        <v>1</v>
      </c>
      <c r="CP28" t="s">
        <v>13</v>
      </c>
      <c r="CQ28">
        <v>12.14</v>
      </c>
      <c r="CR28">
        <v>12.16</v>
      </c>
      <c r="CS28">
        <v>12.22</v>
      </c>
      <c r="CT28">
        <v>12.18</v>
      </c>
      <c r="CU28">
        <v>12.2</v>
      </c>
      <c r="CV28">
        <v>12.1</v>
      </c>
      <c r="CW28">
        <v>12.2</v>
      </c>
      <c r="DB28">
        <v>20.8</v>
      </c>
      <c r="DC28">
        <v>18</v>
      </c>
      <c r="DD28">
        <v>19</v>
      </c>
      <c r="DE28">
        <f>DB28+273.15</f>
        <v>293.95</v>
      </c>
      <c r="DV28" t="s">
        <v>8</v>
      </c>
      <c r="DW28" t="s">
        <v>1</v>
      </c>
      <c r="DX28">
        <f>DX29/DX27</f>
        <v>50.420168067226889</v>
      </c>
      <c r="EA28">
        <v>1</v>
      </c>
      <c r="EB28" t="s">
        <v>13</v>
      </c>
      <c r="EC28">
        <v>12.08</v>
      </c>
      <c r="ED28">
        <v>12</v>
      </c>
      <c r="EE28">
        <v>12.08</v>
      </c>
      <c r="EF28">
        <v>12.08</v>
      </c>
      <c r="EG28">
        <v>12.13</v>
      </c>
      <c r="EN28">
        <v>19.3</v>
      </c>
      <c r="EO28">
        <v>16</v>
      </c>
      <c r="EP28">
        <v>19</v>
      </c>
      <c r="EQ28">
        <f>EN28+273.15</f>
        <v>292.45</v>
      </c>
    </row>
    <row r="29" spans="1:147" x14ac:dyDescent="0.3">
      <c r="A29" t="s">
        <v>4</v>
      </c>
      <c r="B29" t="s">
        <v>5</v>
      </c>
      <c r="C29">
        <v>10</v>
      </c>
      <c r="G29" t="s">
        <v>7</v>
      </c>
      <c r="H29">
        <f>SUM(H28:N28)/7</f>
        <v>23.91571428571428</v>
      </c>
      <c r="AE29" t="s">
        <v>4</v>
      </c>
      <c r="AF29" t="s">
        <v>5</v>
      </c>
      <c r="AG29">
        <v>10</v>
      </c>
      <c r="AK29" t="s">
        <v>7</v>
      </c>
      <c r="AL29">
        <f>SUM(AL28:AU28)/10</f>
        <v>12.215000000000002</v>
      </c>
      <c r="BH29" t="s">
        <v>4</v>
      </c>
      <c r="BI29" t="s">
        <v>5</v>
      </c>
      <c r="BJ29">
        <v>10</v>
      </c>
      <c r="BN29" t="s">
        <v>7</v>
      </c>
      <c r="BO29">
        <f>SUM(BO28:BX28)/6</f>
        <v>6.8883333333333328</v>
      </c>
      <c r="CJ29" t="s">
        <v>4</v>
      </c>
      <c r="CK29" t="s">
        <v>5</v>
      </c>
      <c r="CL29">
        <v>10</v>
      </c>
      <c r="CP29" t="s">
        <v>7</v>
      </c>
      <c r="CQ29">
        <f>SUM(CQ28:CW28)/7</f>
        <v>12.171428571428573</v>
      </c>
      <c r="DV29" t="s">
        <v>4</v>
      </c>
      <c r="DW29" t="s">
        <v>5</v>
      </c>
      <c r="DX29">
        <v>10</v>
      </c>
      <c r="EB29" t="s">
        <v>7</v>
      </c>
      <c r="EC29">
        <f>SUM(EC28:EI28)/5</f>
        <v>12.074</v>
      </c>
    </row>
    <row r="30" spans="1:147" x14ac:dyDescent="0.3">
      <c r="F30">
        <v>10</v>
      </c>
      <c r="G30" t="s">
        <v>13</v>
      </c>
      <c r="H30">
        <v>19.27</v>
      </c>
      <c r="I30">
        <v>18.579999999999998</v>
      </c>
      <c r="J30">
        <v>18.25</v>
      </c>
      <c r="K30">
        <v>17.760000000000002</v>
      </c>
      <c r="L30">
        <v>17.46</v>
      </c>
      <c r="Q30">
        <v>17</v>
      </c>
      <c r="R30">
        <v>15</v>
      </c>
      <c r="S30">
        <v>19</v>
      </c>
      <c r="T30">
        <f t="shared" ref="T30:T38" si="55">Q30+273.15</f>
        <v>290.14999999999998</v>
      </c>
      <c r="AJ30">
        <v>10</v>
      </c>
      <c r="AK30" t="s">
        <v>13</v>
      </c>
      <c r="AL30">
        <v>12.09</v>
      </c>
      <c r="AM30">
        <v>12.01</v>
      </c>
      <c r="AN30">
        <v>11.76</v>
      </c>
      <c r="AO30">
        <v>11.87</v>
      </c>
      <c r="AP30">
        <v>11.84</v>
      </c>
      <c r="AW30">
        <v>16.600000000000001</v>
      </c>
      <c r="AX30">
        <v>11</v>
      </c>
      <c r="AY30">
        <v>19</v>
      </c>
      <c r="AZ30">
        <f>AW30+273.15</f>
        <v>289.75</v>
      </c>
      <c r="BM30">
        <v>10</v>
      </c>
      <c r="BN30" t="s">
        <v>13</v>
      </c>
      <c r="BO30">
        <v>6.93</v>
      </c>
      <c r="BP30">
        <v>6.84</v>
      </c>
      <c r="BQ30">
        <v>6.84</v>
      </c>
      <c r="BR30">
        <v>6.84</v>
      </c>
      <c r="BS30">
        <v>6.86</v>
      </c>
      <c r="BZ30">
        <v>26.5</v>
      </c>
      <c r="CA30">
        <v>21</v>
      </c>
      <c r="CB30">
        <v>21</v>
      </c>
      <c r="CC30">
        <f>BZ30+273.15</f>
        <v>299.64999999999998</v>
      </c>
      <c r="CO30">
        <v>10</v>
      </c>
      <c r="CP30" t="s">
        <v>13</v>
      </c>
      <c r="CQ30">
        <v>12.16</v>
      </c>
      <c r="CR30">
        <v>12.09</v>
      </c>
      <c r="CS30">
        <v>12.15</v>
      </c>
      <c r="CT30">
        <v>12.09</v>
      </c>
      <c r="CU30">
        <v>12.15</v>
      </c>
      <c r="DB30">
        <v>22.2</v>
      </c>
      <c r="DC30">
        <v>18</v>
      </c>
      <c r="DD30">
        <v>20</v>
      </c>
      <c r="DE30">
        <f>DB30+273.15</f>
        <v>295.34999999999997</v>
      </c>
      <c r="EA30">
        <v>10</v>
      </c>
      <c r="EB30" t="s">
        <v>13</v>
      </c>
      <c r="EC30">
        <v>12.02</v>
      </c>
      <c r="ED30">
        <v>12.01</v>
      </c>
      <c r="EE30">
        <v>12.01</v>
      </c>
      <c r="EF30">
        <v>12.08</v>
      </c>
      <c r="EG30">
        <v>12.09</v>
      </c>
      <c r="EN30">
        <v>20.5</v>
      </c>
      <c r="EO30">
        <v>16</v>
      </c>
      <c r="EP30">
        <v>19</v>
      </c>
      <c r="EQ30">
        <f>EN30+273.15</f>
        <v>293.64999999999998</v>
      </c>
    </row>
    <row r="31" spans="1:147" x14ac:dyDescent="0.3">
      <c r="A31" t="s">
        <v>16</v>
      </c>
      <c r="B31" s="4">
        <v>5.3900000000000002E-5</v>
      </c>
      <c r="G31" t="s">
        <v>7</v>
      </c>
      <c r="H31">
        <f>SUM(H30:M30)/6</f>
        <v>15.219999999999999</v>
      </c>
      <c r="AE31" t="s">
        <v>16</v>
      </c>
      <c r="AF31" s="4">
        <v>5.3900000000000002E-5</v>
      </c>
      <c r="AK31" t="s">
        <v>7</v>
      </c>
      <c r="AL31">
        <f>SUM(AL30:AP30)/5</f>
        <v>11.913999999999998</v>
      </c>
      <c r="BH31" t="s">
        <v>16</v>
      </c>
      <c r="BI31" s="4">
        <v>5.3900000000000002E-5</v>
      </c>
      <c r="BN31" t="s">
        <v>7</v>
      </c>
      <c r="BO31">
        <f>SUM(BO30:BS30)/5</f>
        <v>6.8620000000000001</v>
      </c>
      <c r="CJ31" t="s">
        <v>16</v>
      </c>
      <c r="CK31" s="4">
        <v>5.3900000000000002E-5</v>
      </c>
      <c r="CP31" t="s">
        <v>7</v>
      </c>
      <c r="CQ31">
        <f>SUM(CQ30:CU30)/5</f>
        <v>12.127999999999998</v>
      </c>
      <c r="DV31" t="s">
        <v>16</v>
      </c>
      <c r="DW31" s="4">
        <v>5.3900000000000002E-5</v>
      </c>
      <c r="EB31" t="s">
        <v>7</v>
      </c>
      <c r="EC31">
        <f>SUM(EC30:EG30)/5</f>
        <v>12.041999999999998</v>
      </c>
    </row>
    <row r="32" spans="1:147" x14ac:dyDescent="0.3">
      <c r="A32" t="s">
        <v>17</v>
      </c>
      <c r="B32" s="4">
        <v>7.5833300000000004E-8</v>
      </c>
      <c r="F32">
        <v>30</v>
      </c>
      <c r="G32" t="s">
        <v>13</v>
      </c>
      <c r="H32">
        <v>12.93</v>
      </c>
      <c r="I32">
        <v>12.85</v>
      </c>
      <c r="J32">
        <v>12.63</v>
      </c>
      <c r="K32">
        <v>12.7</v>
      </c>
      <c r="L32">
        <v>12.71</v>
      </c>
      <c r="Q32">
        <v>18</v>
      </c>
      <c r="R32">
        <v>15</v>
      </c>
      <c r="S32">
        <v>20</v>
      </c>
      <c r="T32">
        <f t="shared" si="55"/>
        <v>291.14999999999998</v>
      </c>
      <c r="AE32" t="s">
        <v>17</v>
      </c>
      <c r="AF32" s="4">
        <v>7.5833300000000004E-8</v>
      </c>
      <c r="AJ32">
        <v>30</v>
      </c>
      <c r="AK32" t="s">
        <v>13</v>
      </c>
      <c r="AL32">
        <v>10.029999999999999</v>
      </c>
      <c r="AM32">
        <v>9.9700000000000006</v>
      </c>
      <c r="AN32">
        <v>9.93</v>
      </c>
      <c r="AO32">
        <v>9.7799999999999994</v>
      </c>
      <c r="AP32">
        <v>9.9</v>
      </c>
      <c r="AW32">
        <v>17.2</v>
      </c>
      <c r="AX32">
        <v>13</v>
      </c>
      <c r="AY32">
        <v>19</v>
      </c>
      <c r="AZ32">
        <f>AW32+273.15</f>
        <v>290.34999999999997</v>
      </c>
      <c r="BH32" t="s">
        <v>17</v>
      </c>
      <c r="BI32" s="4">
        <v>7.5833300000000004E-8</v>
      </c>
      <c r="BM32">
        <v>30</v>
      </c>
      <c r="BN32" t="s">
        <v>13</v>
      </c>
      <c r="BO32">
        <v>6.71</v>
      </c>
      <c r="BP32">
        <v>6.58</v>
      </c>
      <c r="BQ32">
        <v>6.62</v>
      </c>
      <c r="BR32">
        <v>6.66</v>
      </c>
      <c r="BS32">
        <v>6.61</v>
      </c>
      <c r="BZ32">
        <v>26.9</v>
      </c>
      <c r="CA32">
        <v>21</v>
      </c>
      <c r="CB32">
        <v>21</v>
      </c>
      <c r="CC32">
        <f>BZ32+273.15</f>
        <v>300.04999999999995</v>
      </c>
      <c r="CJ32" t="s">
        <v>17</v>
      </c>
      <c r="CK32" s="4">
        <v>7.5833300000000004E-8</v>
      </c>
      <c r="CO32">
        <v>30</v>
      </c>
      <c r="CP32" t="s">
        <v>13</v>
      </c>
      <c r="CQ32">
        <v>11.97</v>
      </c>
      <c r="CR32">
        <v>11.93</v>
      </c>
      <c r="CS32">
        <v>11.96</v>
      </c>
      <c r="CT32">
        <v>11.99</v>
      </c>
      <c r="CU32">
        <v>11.98</v>
      </c>
      <c r="DB32">
        <v>22.5</v>
      </c>
      <c r="DC32">
        <v>18</v>
      </c>
      <c r="DD32">
        <v>20</v>
      </c>
      <c r="DE32">
        <f>DB32+273.15</f>
        <v>295.64999999999998</v>
      </c>
      <c r="DV32" t="s">
        <v>17</v>
      </c>
      <c r="DW32" s="4">
        <v>7.5833300000000004E-8</v>
      </c>
      <c r="EA32">
        <v>30</v>
      </c>
      <c r="EB32" t="s">
        <v>13</v>
      </c>
      <c r="EC32">
        <v>12.06</v>
      </c>
      <c r="ED32">
        <v>11.95</v>
      </c>
      <c r="EE32">
        <v>11.9</v>
      </c>
      <c r="EF32">
        <v>12.03</v>
      </c>
      <c r="EG32">
        <v>12.02</v>
      </c>
      <c r="EN32">
        <v>20.6</v>
      </c>
      <c r="EO32">
        <v>16</v>
      </c>
      <c r="EP32">
        <v>19</v>
      </c>
      <c r="EQ32">
        <f>EN32+273.15</f>
        <v>293.75</v>
      </c>
    </row>
    <row r="33" spans="1:147" x14ac:dyDescent="0.3">
      <c r="A33" t="s">
        <v>18</v>
      </c>
      <c r="B33" s="4">
        <v>1.41E-3</v>
      </c>
      <c r="G33" t="s">
        <v>7</v>
      </c>
      <c r="H33">
        <f>SUM(H32:L32)/5</f>
        <v>12.763999999999999</v>
      </c>
      <c r="AE33" t="s">
        <v>18</v>
      </c>
      <c r="AF33" s="4">
        <v>1.41E-3</v>
      </c>
      <c r="AK33" t="s">
        <v>7</v>
      </c>
      <c r="AL33">
        <f>SUM(AL32:AP32)/5</f>
        <v>9.9220000000000006</v>
      </c>
      <c r="BH33" t="s">
        <v>18</v>
      </c>
      <c r="BI33" s="4">
        <v>1.41E-3</v>
      </c>
      <c r="BN33" t="s">
        <v>7</v>
      </c>
      <c r="BO33">
        <f>SUM(BO32:BS32)/5</f>
        <v>6.6360000000000001</v>
      </c>
      <c r="CJ33" t="s">
        <v>18</v>
      </c>
      <c r="CK33" s="4">
        <v>1.41E-3</v>
      </c>
      <c r="CP33" t="s">
        <v>7</v>
      </c>
      <c r="CQ33">
        <f>SUM(CQ32:CU32)/5</f>
        <v>11.965999999999999</v>
      </c>
      <c r="DV33" t="s">
        <v>18</v>
      </c>
      <c r="DW33" s="4">
        <v>1.41E-3</v>
      </c>
      <c r="EB33" t="s">
        <v>7</v>
      </c>
      <c r="EC33">
        <f>SUM(EC32:EG32)/5</f>
        <v>11.991999999999999</v>
      </c>
    </row>
    <row r="34" spans="1:147" x14ac:dyDescent="0.3">
      <c r="A34" t="s">
        <v>19</v>
      </c>
      <c r="B34">
        <v>0.14000000000000001</v>
      </c>
      <c r="F34">
        <v>60</v>
      </c>
      <c r="G34" t="s">
        <v>13</v>
      </c>
      <c r="H34">
        <v>9.61</v>
      </c>
      <c r="I34">
        <v>9.59</v>
      </c>
      <c r="J34">
        <v>9.25</v>
      </c>
      <c r="K34">
        <v>9.3800000000000008</v>
      </c>
      <c r="L34">
        <v>9.43</v>
      </c>
      <c r="Q34">
        <v>18</v>
      </c>
      <c r="R34">
        <v>15</v>
      </c>
      <c r="S34">
        <v>20</v>
      </c>
      <c r="T34">
        <f t="shared" si="55"/>
        <v>291.14999999999998</v>
      </c>
      <c r="AE34" t="s">
        <v>19</v>
      </c>
      <c r="AF34">
        <v>0.14000000000000001</v>
      </c>
      <c r="AI34">
        <f>AJ34/60</f>
        <v>1</v>
      </c>
      <c r="AJ34">
        <v>60</v>
      </c>
      <c r="AK34" t="s">
        <v>13</v>
      </c>
      <c r="AL34">
        <v>8.35</v>
      </c>
      <c r="AM34">
        <v>8.26</v>
      </c>
      <c r="AN34">
        <v>8.33</v>
      </c>
      <c r="AO34">
        <v>8.3800000000000008</v>
      </c>
      <c r="AP34">
        <v>8.3000000000000007</v>
      </c>
      <c r="AW34">
        <v>17.8</v>
      </c>
      <c r="AX34">
        <v>13</v>
      </c>
      <c r="AY34">
        <v>19</v>
      </c>
      <c r="AZ34">
        <f>AW34+273.15</f>
        <v>290.95</v>
      </c>
      <c r="BH34" t="s">
        <v>19</v>
      </c>
      <c r="BI34">
        <v>0.14000000000000001</v>
      </c>
      <c r="BL34">
        <f>BM34/60</f>
        <v>1</v>
      </c>
      <c r="BM34">
        <v>60</v>
      </c>
      <c r="BN34" t="s">
        <v>13</v>
      </c>
      <c r="BO34">
        <v>6.55</v>
      </c>
      <c r="BP34">
        <v>6.46</v>
      </c>
      <c r="BQ34">
        <v>6.47</v>
      </c>
      <c r="BR34">
        <v>6.45</v>
      </c>
      <c r="BS34">
        <v>6.39</v>
      </c>
      <c r="BZ34">
        <v>26.8</v>
      </c>
      <c r="CA34">
        <v>21</v>
      </c>
      <c r="CB34">
        <v>21</v>
      </c>
      <c r="CC34">
        <f>BZ34+273.15</f>
        <v>299.95</v>
      </c>
      <c r="CJ34" t="s">
        <v>19</v>
      </c>
      <c r="CK34">
        <v>0.14000000000000001</v>
      </c>
      <c r="CN34">
        <f>CO34/60</f>
        <v>1</v>
      </c>
      <c r="CO34">
        <v>60</v>
      </c>
      <c r="CP34" t="s">
        <v>13</v>
      </c>
      <c r="CQ34">
        <v>11.98</v>
      </c>
      <c r="CR34">
        <v>11.9</v>
      </c>
      <c r="CS34">
        <v>12.03</v>
      </c>
      <c r="CT34">
        <v>11.92</v>
      </c>
      <c r="CU34">
        <v>12.05</v>
      </c>
      <c r="CV34">
        <v>11.9</v>
      </c>
      <c r="DB34">
        <v>23.2</v>
      </c>
      <c r="DC34">
        <v>18</v>
      </c>
      <c r="DD34">
        <v>20</v>
      </c>
      <c r="DE34">
        <f>DB34+273.15</f>
        <v>296.34999999999997</v>
      </c>
      <c r="DV34" t="s">
        <v>19</v>
      </c>
      <c r="DW34">
        <v>0.14000000000000001</v>
      </c>
      <c r="DZ34">
        <f>EA34/60</f>
        <v>1</v>
      </c>
      <c r="EA34">
        <v>60</v>
      </c>
      <c r="EB34" t="s">
        <v>13</v>
      </c>
      <c r="EC34">
        <v>12.02</v>
      </c>
      <c r="ED34">
        <v>12.03</v>
      </c>
      <c r="EE34">
        <v>11.93</v>
      </c>
      <c r="EF34">
        <v>11.91</v>
      </c>
      <c r="EG34">
        <v>12.01</v>
      </c>
      <c r="EN34">
        <v>21</v>
      </c>
      <c r="EO34">
        <v>16</v>
      </c>
      <c r="EP34">
        <v>19</v>
      </c>
      <c r="EQ34">
        <f>EN34+273.15</f>
        <v>294.14999999999998</v>
      </c>
    </row>
    <row r="35" spans="1:147" x14ac:dyDescent="0.3">
      <c r="A35" t="s">
        <v>20</v>
      </c>
      <c r="B35">
        <v>1.4445E-3</v>
      </c>
      <c r="G35" t="s">
        <v>7</v>
      </c>
      <c r="H35">
        <f>SUM(H34:L34)/5</f>
        <v>9.452</v>
      </c>
      <c r="AE35" t="s">
        <v>20</v>
      </c>
      <c r="AF35">
        <v>1.4445E-3</v>
      </c>
      <c r="AK35" t="s">
        <v>7</v>
      </c>
      <c r="AL35">
        <f>SUM(AL34:AP34)/5</f>
        <v>8.3240000000000016</v>
      </c>
      <c r="BH35" t="s">
        <v>20</v>
      </c>
      <c r="BI35">
        <v>1.4445E-3</v>
      </c>
      <c r="BN35" t="s">
        <v>7</v>
      </c>
      <c r="BO35">
        <f>SUM(BO34:BS34)/5</f>
        <v>6.4640000000000004</v>
      </c>
      <c r="CJ35" t="s">
        <v>20</v>
      </c>
      <c r="CK35">
        <v>1.4445E-3</v>
      </c>
      <c r="CP35" t="s">
        <v>7</v>
      </c>
      <c r="CQ35">
        <f>SUM(CQ34:CV34)/6</f>
        <v>11.963333333333336</v>
      </c>
      <c r="DV35" t="s">
        <v>20</v>
      </c>
      <c r="DW35">
        <v>1.4445E-3</v>
      </c>
      <c r="EB35" t="s">
        <v>7</v>
      </c>
      <c r="EC35">
        <f>SUM(EC34:EH34)/5</f>
        <v>11.98</v>
      </c>
    </row>
    <row r="36" spans="1:147" x14ac:dyDescent="0.3">
      <c r="A36" t="s">
        <v>21</v>
      </c>
      <c r="B36">
        <v>293.14999999999998</v>
      </c>
      <c r="F36">
        <v>90</v>
      </c>
      <c r="G36" t="s">
        <v>13</v>
      </c>
      <c r="H36">
        <v>8.34</v>
      </c>
      <c r="I36">
        <v>8.42</v>
      </c>
      <c r="J36">
        <v>8.25</v>
      </c>
      <c r="K36">
        <v>8.2899999999999991</v>
      </c>
      <c r="L36">
        <v>8.14</v>
      </c>
      <c r="Q36">
        <v>18.5</v>
      </c>
      <c r="R36">
        <v>16</v>
      </c>
      <c r="S36">
        <v>20</v>
      </c>
      <c r="T36">
        <f t="shared" si="55"/>
        <v>291.64999999999998</v>
      </c>
      <c r="AE36" t="s">
        <v>21</v>
      </c>
      <c r="AF36">
        <v>293.14999999999998</v>
      </c>
      <c r="AI36">
        <f>AJ36/60</f>
        <v>1.5</v>
      </c>
      <c r="AJ36">
        <v>90</v>
      </c>
      <c r="AK36" t="s">
        <v>13</v>
      </c>
      <c r="AL36">
        <v>7.62</v>
      </c>
      <c r="AM36">
        <v>7.57</v>
      </c>
      <c r="AN36">
        <v>7.68</v>
      </c>
      <c r="AO36">
        <v>7.71</v>
      </c>
      <c r="AP36">
        <v>7.63</v>
      </c>
      <c r="AW36">
        <v>17.7</v>
      </c>
      <c r="AX36">
        <v>12</v>
      </c>
      <c r="AY36">
        <v>19</v>
      </c>
      <c r="AZ36">
        <f>AW36+273.15</f>
        <v>290.84999999999997</v>
      </c>
      <c r="BH36" t="s">
        <v>21</v>
      </c>
      <c r="BI36">
        <v>293.14999999999998</v>
      </c>
      <c r="BL36">
        <f>BM36/60</f>
        <v>1.5</v>
      </c>
      <c r="BM36">
        <v>90</v>
      </c>
      <c r="BN36" t="s">
        <v>13</v>
      </c>
      <c r="BO36">
        <v>6.38</v>
      </c>
      <c r="BP36">
        <v>6.38</v>
      </c>
      <c r="BQ36">
        <v>6.47</v>
      </c>
      <c r="BR36">
        <v>6.18</v>
      </c>
      <c r="BS36">
        <v>6.35</v>
      </c>
      <c r="BZ36">
        <v>26.9</v>
      </c>
      <c r="CA36">
        <v>21</v>
      </c>
      <c r="CB36">
        <v>21</v>
      </c>
      <c r="CC36">
        <f>BZ36+273.15</f>
        <v>300.04999999999995</v>
      </c>
      <c r="CJ36" t="s">
        <v>21</v>
      </c>
      <c r="CK36">
        <v>293.14999999999998</v>
      </c>
      <c r="CN36">
        <f>CO36/60</f>
        <v>1.5</v>
      </c>
      <c r="CO36">
        <v>90</v>
      </c>
      <c r="CP36" t="s">
        <v>13</v>
      </c>
      <c r="CQ36">
        <v>11.95</v>
      </c>
      <c r="CR36">
        <v>11.87</v>
      </c>
      <c r="CS36">
        <v>11.89</v>
      </c>
      <c r="CT36">
        <v>12</v>
      </c>
      <c r="CU36">
        <v>11.97</v>
      </c>
      <c r="DB36">
        <v>23.8</v>
      </c>
      <c r="DC36">
        <v>18</v>
      </c>
      <c r="DD36">
        <v>20</v>
      </c>
      <c r="DE36">
        <f>DB36+273.15</f>
        <v>296.95</v>
      </c>
      <c r="DV36" t="s">
        <v>21</v>
      </c>
      <c r="DW36">
        <v>293.14999999999998</v>
      </c>
      <c r="DZ36">
        <f>EA36/60</f>
        <v>1.5</v>
      </c>
      <c r="EA36">
        <v>90</v>
      </c>
      <c r="EB36" t="s">
        <v>13</v>
      </c>
      <c r="EC36">
        <v>11.9</v>
      </c>
      <c r="ED36">
        <v>11.95</v>
      </c>
      <c r="EE36">
        <v>11.91</v>
      </c>
      <c r="EF36">
        <v>11.87</v>
      </c>
      <c r="EG36">
        <v>11.97</v>
      </c>
      <c r="EN36">
        <v>21.4</v>
      </c>
      <c r="EO36">
        <v>17</v>
      </c>
      <c r="EP36">
        <v>19</v>
      </c>
      <c r="EQ36">
        <f>EN36+273.15</f>
        <v>294.54999999999995</v>
      </c>
    </row>
    <row r="37" spans="1:147" x14ac:dyDescent="0.3">
      <c r="G37" t="s">
        <v>7</v>
      </c>
      <c r="H37">
        <f>SUM(H36:L36)/5</f>
        <v>8.2880000000000003</v>
      </c>
      <c r="AK37" t="s">
        <v>7</v>
      </c>
      <c r="AL37">
        <f>SUM(AL36:AP36)/5</f>
        <v>7.6420000000000003</v>
      </c>
      <c r="BN37" t="s">
        <v>7</v>
      </c>
      <c r="BO37">
        <f>SUM(BO36:BS36)/5</f>
        <v>6.3519999999999994</v>
      </c>
      <c r="CP37" t="s">
        <v>7</v>
      </c>
      <c r="CQ37">
        <f>SUM(CQ36:CU36)/5</f>
        <v>11.936</v>
      </c>
      <c r="EB37" t="s">
        <v>7</v>
      </c>
      <c r="EC37">
        <f>SUM(EC36:EG36)/5</f>
        <v>11.92</v>
      </c>
    </row>
    <row r="38" spans="1:147" x14ac:dyDescent="0.3">
      <c r="F38">
        <v>120</v>
      </c>
      <c r="G38" t="s">
        <v>13</v>
      </c>
      <c r="H38">
        <v>7.6</v>
      </c>
      <c r="I38">
        <v>7.58</v>
      </c>
      <c r="J38">
        <v>7.62</v>
      </c>
      <c r="K38">
        <v>7.53</v>
      </c>
      <c r="L38">
        <v>7.56</v>
      </c>
      <c r="Q38">
        <v>19</v>
      </c>
      <c r="R38">
        <v>16</v>
      </c>
      <c r="S38">
        <v>19</v>
      </c>
      <c r="T38">
        <f t="shared" si="55"/>
        <v>292.14999999999998</v>
      </c>
      <c r="AI38">
        <f>AJ38/60</f>
        <v>2</v>
      </c>
      <c r="AJ38">
        <v>120</v>
      </c>
      <c r="AK38" t="s">
        <v>13</v>
      </c>
      <c r="AL38">
        <v>7.43</v>
      </c>
      <c r="AM38">
        <v>7.67</v>
      </c>
      <c r="AN38">
        <v>7.19</v>
      </c>
      <c r="AO38">
        <v>6.96</v>
      </c>
      <c r="AP38">
        <v>7.12</v>
      </c>
      <c r="AW38">
        <v>17.2</v>
      </c>
      <c r="AX38">
        <v>12</v>
      </c>
      <c r="AY38">
        <v>19</v>
      </c>
      <c r="AZ38">
        <f>AW38+273.15</f>
        <v>290.34999999999997</v>
      </c>
      <c r="BL38">
        <f>BM38/60</f>
        <v>2</v>
      </c>
      <c r="BM38">
        <v>120</v>
      </c>
      <c r="BN38" t="s">
        <v>13</v>
      </c>
      <c r="BO38">
        <v>6.17</v>
      </c>
      <c r="BP38">
        <v>6.11</v>
      </c>
      <c r="BQ38">
        <v>6.31</v>
      </c>
      <c r="BR38">
        <v>6.28</v>
      </c>
      <c r="BS38">
        <v>6.35</v>
      </c>
      <c r="BZ38">
        <v>26.7</v>
      </c>
      <c r="CA38">
        <v>21</v>
      </c>
      <c r="CB38">
        <v>21</v>
      </c>
      <c r="CC38">
        <f>BZ38+273.15</f>
        <v>299.84999999999997</v>
      </c>
      <c r="CN38">
        <f>CO38/60</f>
        <v>2</v>
      </c>
      <c r="CO38">
        <v>120</v>
      </c>
      <c r="CP38" t="s">
        <v>13</v>
      </c>
      <c r="CQ38">
        <v>11.93</v>
      </c>
      <c r="CR38">
        <v>11.93</v>
      </c>
      <c r="CS38">
        <v>11.91</v>
      </c>
      <c r="CT38">
        <v>11.98</v>
      </c>
      <c r="CU38">
        <v>11.85</v>
      </c>
      <c r="DB38">
        <v>24.4</v>
      </c>
      <c r="DC38">
        <v>20</v>
      </c>
      <c r="DD38">
        <v>20</v>
      </c>
      <c r="DE38">
        <f>DB38+273.15</f>
        <v>297.54999999999995</v>
      </c>
      <c r="DZ38">
        <f>EA38/60</f>
        <v>2</v>
      </c>
      <c r="EA38">
        <v>120</v>
      </c>
      <c r="EB38" t="s">
        <v>13</v>
      </c>
      <c r="EC38">
        <v>11.84</v>
      </c>
      <c r="ED38">
        <v>11.95</v>
      </c>
      <c r="EE38">
        <v>11.89</v>
      </c>
      <c r="EF38">
        <v>11.96</v>
      </c>
      <c r="EG38">
        <v>11.91</v>
      </c>
      <c r="EN38">
        <v>21.8</v>
      </c>
      <c r="EO38">
        <v>18</v>
      </c>
      <c r="EP38">
        <v>20</v>
      </c>
      <c r="EQ38">
        <f>EN38+273.15</f>
        <v>294.95</v>
      </c>
    </row>
    <row r="39" spans="1:147" x14ac:dyDescent="0.3">
      <c r="G39" t="s">
        <v>7</v>
      </c>
      <c r="H39">
        <f>SUM(H38:L38)/5</f>
        <v>7.5780000000000003</v>
      </c>
      <c r="AK39" t="s">
        <v>7</v>
      </c>
      <c r="AL39">
        <f>SUM(AL38:AP38)/5</f>
        <v>7.2739999999999991</v>
      </c>
      <c r="BN39" t="s">
        <v>7</v>
      </c>
      <c r="BO39">
        <f>SUM(BO38:BS38)/5</f>
        <v>6.2439999999999998</v>
      </c>
      <c r="CP39" t="s">
        <v>7</v>
      </c>
      <c r="CQ39">
        <f>SUM(CQ38:CU38)/5</f>
        <v>11.92</v>
      </c>
      <c r="EB39" t="s">
        <v>7</v>
      </c>
      <c r="EC39">
        <f>SUM(EC38:EG38)/5</f>
        <v>11.91</v>
      </c>
    </row>
    <row r="40" spans="1:147" x14ac:dyDescent="0.3">
      <c r="F40">
        <f>F38+60*2</f>
        <v>240</v>
      </c>
      <c r="G40" t="s">
        <v>13</v>
      </c>
      <c r="H40">
        <v>7.13</v>
      </c>
      <c r="I40">
        <v>7.17</v>
      </c>
      <c r="J40">
        <v>7.06</v>
      </c>
      <c r="K40">
        <v>7.15</v>
      </c>
      <c r="L40">
        <v>7.1</v>
      </c>
      <c r="Q40">
        <v>19</v>
      </c>
      <c r="R40">
        <v>16</v>
      </c>
      <c r="S40">
        <v>20</v>
      </c>
      <c r="T40">
        <f>Q40+273.15</f>
        <v>292.14999999999998</v>
      </c>
      <c r="AI40">
        <f>AJ40/60</f>
        <v>4</v>
      </c>
      <c r="AJ40">
        <f>AJ38+60*2</f>
        <v>240</v>
      </c>
      <c r="AK40" t="s">
        <v>13</v>
      </c>
      <c r="AL40">
        <v>6.58</v>
      </c>
      <c r="AM40">
        <v>6.14</v>
      </c>
      <c r="AN40">
        <v>6.56</v>
      </c>
      <c r="AO40">
        <v>6.56</v>
      </c>
      <c r="AP40">
        <v>6.62</v>
      </c>
      <c r="AQ40">
        <v>7.03</v>
      </c>
      <c r="AW40">
        <v>15.7</v>
      </c>
      <c r="AX40">
        <v>10</v>
      </c>
      <c r="AY40">
        <v>19</v>
      </c>
      <c r="AZ40">
        <f>AW40+273.15</f>
        <v>288.84999999999997</v>
      </c>
      <c r="BL40">
        <f>BM40/60</f>
        <v>4</v>
      </c>
      <c r="BM40">
        <f>BM38+60*2</f>
        <v>240</v>
      </c>
      <c r="BN40" t="s">
        <v>13</v>
      </c>
      <c r="BO40">
        <v>6.15</v>
      </c>
      <c r="BP40">
        <v>6.2</v>
      </c>
      <c r="BQ40">
        <v>6.27</v>
      </c>
      <c r="BR40">
        <v>6.21</v>
      </c>
      <c r="BS40">
        <v>6.12</v>
      </c>
      <c r="BZ40">
        <v>26.3</v>
      </c>
      <c r="CA40">
        <v>21</v>
      </c>
      <c r="CB40">
        <v>21</v>
      </c>
      <c r="CC40">
        <f>BZ40+273.15</f>
        <v>299.45</v>
      </c>
      <c r="CN40">
        <f>CO40/60</f>
        <v>4</v>
      </c>
      <c r="CO40">
        <f>CO38+60*2</f>
        <v>240</v>
      </c>
      <c r="CP40" t="s">
        <v>13</v>
      </c>
      <c r="CQ40">
        <v>11.97</v>
      </c>
      <c r="CR40">
        <v>11.85</v>
      </c>
      <c r="CS40">
        <v>11.96</v>
      </c>
      <c r="CT40">
        <v>11.93</v>
      </c>
      <c r="CU40">
        <v>11.93</v>
      </c>
      <c r="CV40">
        <v>11.84</v>
      </c>
      <c r="DB40">
        <v>25.4</v>
      </c>
      <c r="DC40">
        <v>21</v>
      </c>
      <c r="DD40">
        <v>21</v>
      </c>
      <c r="DE40">
        <f>DB40+273.15</f>
        <v>298.54999999999995</v>
      </c>
      <c r="DZ40">
        <f>EA40/60</f>
        <v>4</v>
      </c>
      <c r="EA40">
        <f>EA38+60*2</f>
        <v>240</v>
      </c>
      <c r="EB40" t="s">
        <v>13</v>
      </c>
      <c r="EC40">
        <v>11.9</v>
      </c>
      <c r="ED40">
        <v>11.81</v>
      </c>
      <c r="EE40">
        <v>11.94</v>
      </c>
      <c r="EF40">
        <v>11.87</v>
      </c>
      <c r="EG40">
        <v>11.76</v>
      </c>
      <c r="EN40">
        <v>22.6</v>
      </c>
      <c r="EO40">
        <v>18</v>
      </c>
      <c r="EP40">
        <v>20</v>
      </c>
      <c r="EQ40">
        <f>EN40+273.15</f>
        <v>295.75</v>
      </c>
    </row>
    <row r="41" spans="1:147" x14ac:dyDescent="0.3">
      <c r="G41" t="s">
        <v>7</v>
      </c>
      <c r="H41">
        <f>SUM(H40:L40)/5</f>
        <v>7.1219999999999999</v>
      </c>
      <c r="AK41" t="s">
        <v>7</v>
      </c>
      <c r="AL41">
        <f>SUM(AL40:AQ40)/6</f>
        <v>6.5816666666666661</v>
      </c>
      <c r="BN41" t="s">
        <v>7</v>
      </c>
      <c r="BO41">
        <f>SUM(BO40:BT40)/5</f>
        <v>6.19</v>
      </c>
      <c r="CP41" t="s">
        <v>7</v>
      </c>
      <c r="CQ41">
        <f>SUM(CQ40:CV40)/6</f>
        <v>11.913333333333334</v>
      </c>
      <c r="EB41" t="s">
        <v>7</v>
      </c>
      <c r="EC41">
        <f>SUM(EC40:EH40)/5</f>
        <v>11.855999999999998</v>
      </c>
    </row>
    <row r="42" spans="1:147" x14ac:dyDescent="0.3">
      <c r="F42">
        <f>F40+60*2</f>
        <v>360</v>
      </c>
      <c r="G42" t="s">
        <v>13</v>
      </c>
      <c r="AI42">
        <f>AJ42/60</f>
        <v>6</v>
      </c>
      <c r="AJ42">
        <f>AJ40+60*2</f>
        <v>360</v>
      </c>
      <c r="AK42" t="s">
        <v>13</v>
      </c>
      <c r="AL42">
        <v>6.52</v>
      </c>
      <c r="AM42">
        <v>6.59</v>
      </c>
      <c r="AN42">
        <v>6.51</v>
      </c>
      <c r="AO42">
        <v>6.53</v>
      </c>
      <c r="AP42">
        <v>6.52</v>
      </c>
      <c r="AW42">
        <v>15.1</v>
      </c>
      <c r="AX42">
        <v>10</v>
      </c>
      <c r="AY42">
        <v>19</v>
      </c>
      <c r="AZ42">
        <f>AW42+273.15</f>
        <v>288.25</v>
      </c>
      <c r="BL42">
        <f>BM42/60</f>
        <v>6</v>
      </c>
      <c r="BM42">
        <f>BM40+60*2</f>
        <v>360</v>
      </c>
      <c r="BN42" t="s">
        <v>13</v>
      </c>
      <c r="BO42">
        <v>6.03</v>
      </c>
      <c r="BP42">
        <v>6.05</v>
      </c>
      <c r="BQ42">
        <v>6.13</v>
      </c>
      <c r="BR42">
        <v>6.09</v>
      </c>
      <c r="BS42">
        <v>6.1</v>
      </c>
      <c r="BZ42">
        <v>26</v>
      </c>
      <c r="CA42">
        <v>21</v>
      </c>
      <c r="CB42">
        <v>21</v>
      </c>
      <c r="CC42">
        <f>BZ42+273.15</f>
        <v>299.14999999999998</v>
      </c>
    </row>
    <row r="43" spans="1:147" x14ac:dyDescent="0.3">
      <c r="G43" t="s">
        <v>7</v>
      </c>
      <c r="H43">
        <v>6.8</v>
      </c>
      <c r="I43" s="29" t="s">
        <v>158</v>
      </c>
      <c r="Q43">
        <v>20.7</v>
      </c>
      <c r="R43">
        <v>18</v>
      </c>
      <c r="S43">
        <v>20</v>
      </c>
      <c r="T43">
        <f>Q43+273.15</f>
        <v>293.84999999999997</v>
      </c>
      <c r="AK43" t="s">
        <v>7</v>
      </c>
      <c r="AL43">
        <f>SUM(AL42:AP42)/5</f>
        <v>6.5340000000000007</v>
      </c>
      <c r="AM43" s="29" t="s">
        <v>159</v>
      </c>
      <c r="BN43" t="s">
        <v>7</v>
      </c>
      <c r="BO43">
        <f>SUM(BO42:BS42)/5</f>
        <v>6.08</v>
      </c>
      <c r="BP43" s="29" t="s">
        <v>159</v>
      </c>
    </row>
    <row r="44" spans="1:147" x14ac:dyDescent="0.3">
      <c r="F44">
        <f>F42+60*4</f>
        <v>600</v>
      </c>
      <c r="G44" t="s">
        <v>13</v>
      </c>
      <c r="AI44">
        <f>AJ44/60</f>
        <v>18</v>
      </c>
      <c r="AJ44">
        <f>AJ42+60*12</f>
        <v>1080</v>
      </c>
      <c r="AK44" t="s">
        <v>13</v>
      </c>
      <c r="AL44">
        <v>6.26</v>
      </c>
      <c r="AM44">
        <v>6.25</v>
      </c>
      <c r="AN44">
        <v>6.3</v>
      </c>
      <c r="AO44">
        <v>6.2</v>
      </c>
      <c r="AP44">
        <v>6.3</v>
      </c>
      <c r="AW44">
        <v>14.7</v>
      </c>
      <c r="AX44">
        <v>9</v>
      </c>
      <c r="AY44">
        <v>18</v>
      </c>
      <c r="AZ44">
        <f>AW44+273.15</f>
        <v>287.84999999999997</v>
      </c>
      <c r="BL44">
        <f>BM44/60</f>
        <v>18</v>
      </c>
      <c r="BM44">
        <f>BM42+60*12</f>
        <v>1080</v>
      </c>
      <c r="BN44" t="s">
        <v>13</v>
      </c>
      <c r="BO44">
        <v>6.06</v>
      </c>
      <c r="BP44">
        <v>6.03</v>
      </c>
      <c r="BQ44">
        <v>6.08</v>
      </c>
      <c r="BR44">
        <v>6.05</v>
      </c>
      <c r="BS44">
        <v>6.05</v>
      </c>
      <c r="BZ44">
        <v>22.3</v>
      </c>
      <c r="CA44">
        <v>17</v>
      </c>
      <c r="CB44">
        <v>20</v>
      </c>
      <c r="CC44">
        <f>BZ44+273.15</f>
        <v>295.45</v>
      </c>
    </row>
    <row r="45" spans="1:147" x14ac:dyDescent="0.3">
      <c r="G45" t="s">
        <v>7</v>
      </c>
      <c r="H45">
        <f>SUM(H44:M44)/6</f>
        <v>0</v>
      </c>
      <c r="AK45" t="s">
        <v>7</v>
      </c>
      <c r="AL45">
        <f>SUM(AL44:AP44)/5</f>
        <v>6.2619999999999996</v>
      </c>
      <c r="BN45" t="s">
        <v>7</v>
      </c>
      <c r="BO45">
        <f>SUM(BO44:BS44)/5</f>
        <v>6.0540000000000003</v>
      </c>
    </row>
    <row r="46" spans="1:147" x14ac:dyDescent="0.3">
      <c r="F46">
        <f>F44+60*4</f>
        <v>840</v>
      </c>
      <c r="G46" t="s">
        <v>13</v>
      </c>
      <c r="AI46">
        <f>AJ46/60</f>
        <v>22</v>
      </c>
      <c r="AJ46">
        <f>AJ44+60*4</f>
        <v>1320</v>
      </c>
      <c r="AK46" t="s">
        <v>13</v>
      </c>
      <c r="AL46">
        <v>6.05</v>
      </c>
      <c r="AM46">
        <v>6.3</v>
      </c>
      <c r="AN46">
        <v>6.09</v>
      </c>
      <c r="AO46">
        <v>6.15</v>
      </c>
      <c r="AP46">
        <v>6.15</v>
      </c>
      <c r="AW46">
        <v>18.8</v>
      </c>
      <c r="AX46">
        <v>14</v>
      </c>
      <c r="AY46">
        <v>20</v>
      </c>
      <c r="AZ46">
        <f>AW46+273.15</f>
        <v>291.95</v>
      </c>
      <c r="BL46">
        <f>BM46/60</f>
        <v>22</v>
      </c>
      <c r="BM46">
        <f>BM44+60*4</f>
        <v>1320</v>
      </c>
      <c r="BN46" t="s">
        <v>13</v>
      </c>
      <c r="BO46">
        <v>5.92</v>
      </c>
      <c r="BP46">
        <v>5.96</v>
      </c>
      <c r="BQ46">
        <v>5.98</v>
      </c>
      <c r="BR46">
        <v>5.95</v>
      </c>
      <c r="BS46">
        <v>5.97</v>
      </c>
      <c r="BZ46">
        <v>23.4</v>
      </c>
      <c r="CA46">
        <v>19</v>
      </c>
      <c r="CB46">
        <v>20</v>
      </c>
      <c r="CC46">
        <f>BZ46+273.15</f>
        <v>296.54999999999995</v>
      </c>
    </row>
    <row r="47" spans="1:147" x14ac:dyDescent="0.3">
      <c r="G47" t="s">
        <v>7</v>
      </c>
      <c r="H47">
        <f>SUM(H46:M46)/6</f>
        <v>0</v>
      </c>
      <c r="AK47" t="s">
        <v>7</v>
      </c>
      <c r="AL47">
        <f>SUM(AL46:AQ46)/5</f>
        <v>6.1479999999999988</v>
      </c>
      <c r="BN47" t="s">
        <v>7</v>
      </c>
      <c r="BO47">
        <f>SUM(BO46:BT46)/5</f>
        <v>5.9559999999999995</v>
      </c>
    </row>
    <row r="48" spans="1:147" x14ac:dyDescent="0.3">
      <c r="F48">
        <f>F46+60*12</f>
        <v>1560</v>
      </c>
      <c r="G48" t="s">
        <v>13</v>
      </c>
      <c r="AI48">
        <f>AJ48/60</f>
        <v>26</v>
      </c>
      <c r="AJ48">
        <f>AJ46+60*4</f>
        <v>1560</v>
      </c>
      <c r="AK48" t="s">
        <v>13</v>
      </c>
      <c r="AL48">
        <v>6.15</v>
      </c>
      <c r="AM48">
        <v>6.16</v>
      </c>
      <c r="AN48">
        <v>6.2</v>
      </c>
      <c r="AO48">
        <v>6.19</v>
      </c>
      <c r="AP48">
        <v>6.13</v>
      </c>
      <c r="AW48">
        <v>18.2</v>
      </c>
      <c r="AX48">
        <v>14</v>
      </c>
      <c r="AY48">
        <v>19</v>
      </c>
      <c r="AZ48">
        <f>AW48+273.15</f>
        <v>291.34999999999997</v>
      </c>
      <c r="BL48">
        <f>BM48/60</f>
        <v>26</v>
      </c>
      <c r="BM48">
        <f>BM46+60*4</f>
        <v>1560</v>
      </c>
      <c r="BN48" t="s">
        <v>13</v>
      </c>
      <c r="BO48">
        <v>5.94</v>
      </c>
      <c r="BP48">
        <v>5.96</v>
      </c>
      <c r="BQ48">
        <v>5.98</v>
      </c>
      <c r="BR48">
        <v>5.92</v>
      </c>
      <c r="BS48">
        <v>5.96</v>
      </c>
      <c r="BZ48">
        <v>23.6</v>
      </c>
      <c r="CA48">
        <v>19</v>
      </c>
      <c r="CB48">
        <v>20</v>
      </c>
      <c r="CC48">
        <f>BZ48+273.15</f>
        <v>296.75</v>
      </c>
    </row>
    <row r="49" spans="1:67" x14ac:dyDescent="0.3">
      <c r="G49" t="s">
        <v>7</v>
      </c>
      <c r="H49">
        <f>SUM(H48:M48)/6</f>
        <v>0</v>
      </c>
      <c r="AK49" t="s">
        <v>7</v>
      </c>
      <c r="AL49">
        <f>SUM(AL48:AP48)/5</f>
        <v>6.1660000000000004</v>
      </c>
      <c r="BN49" t="s">
        <v>7</v>
      </c>
      <c r="BO49">
        <f>SUM(BO48:BS48)/5</f>
        <v>5.9520000000000008</v>
      </c>
    </row>
    <row r="50" spans="1:67" x14ac:dyDescent="0.3">
      <c r="F50">
        <f>F48+60*4</f>
        <v>1800</v>
      </c>
      <c r="G50" t="s">
        <v>13</v>
      </c>
      <c r="AI50">
        <f>AJ50/60</f>
        <v>30</v>
      </c>
      <c r="AJ50">
        <f>AJ48+60*4</f>
        <v>1800</v>
      </c>
      <c r="AK50" t="s">
        <v>13</v>
      </c>
      <c r="AL50">
        <v>6.18</v>
      </c>
      <c r="AM50">
        <v>6.15</v>
      </c>
      <c r="AN50">
        <v>6.28</v>
      </c>
      <c r="AO50">
        <v>6.31</v>
      </c>
      <c r="AP50">
        <v>6.15</v>
      </c>
      <c r="AQ50">
        <v>6.09</v>
      </c>
      <c r="AW50">
        <v>17.600000000000001</v>
      </c>
      <c r="AX50">
        <v>13</v>
      </c>
      <c r="AY50">
        <v>19</v>
      </c>
      <c r="AZ50">
        <f>AW50+273.15</f>
        <v>290.75</v>
      </c>
    </row>
    <row r="51" spans="1:67" x14ac:dyDescent="0.3">
      <c r="G51" t="s">
        <v>7</v>
      </c>
      <c r="H51">
        <f>SUM(H50:M50)/6</f>
        <v>0</v>
      </c>
      <c r="AK51" t="s">
        <v>7</v>
      </c>
      <c r="AL51">
        <f>SUM(AL50:AQ50)/6</f>
        <v>6.1933333333333325</v>
      </c>
    </row>
    <row r="52" spans="1:67" x14ac:dyDescent="0.3">
      <c r="F52">
        <f>F50+60*4</f>
        <v>2040</v>
      </c>
      <c r="G52" t="s">
        <v>13</v>
      </c>
      <c r="AI52">
        <f>AJ52/60</f>
        <v>42</v>
      </c>
      <c r="AJ52">
        <f>AJ50+60*12</f>
        <v>2520</v>
      </c>
      <c r="AK52" t="s">
        <v>13</v>
      </c>
      <c r="AL52">
        <v>6.17</v>
      </c>
      <c r="AM52">
        <v>6.15</v>
      </c>
      <c r="AN52">
        <v>6.17</v>
      </c>
      <c r="AO52">
        <v>6.17</v>
      </c>
      <c r="AP52">
        <v>6.08</v>
      </c>
      <c r="AW52">
        <v>16.2</v>
      </c>
      <c r="AX52">
        <v>11</v>
      </c>
      <c r="AY52">
        <v>19</v>
      </c>
      <c r="AZ52">
        <f>AW52+273.15</f>
        <v>289.34999999999997</v>
      </c>
    </row>
    <row r="53" spans="1:67" x14ac:dyDescent="0.3">
      <c r="G53" t="s">
        <v>7</v>
      </c>
      <c r="H53">
        <f>SUM(H52:M52)/6</f>
        <v>0</v>
      </c>
      <c r="AK53" t="s">
        <v>7</v>
      </c>
      <c r="AL53">
        <f>SUM(AL52:AQ52)/5</f>
        <v>6.1480000000000006</v>
      </c>
    </row>
    <row r="54" spans="1:67" x14ac:dyDescent="0.3">
      <c r="F54">
        <f>F52+60*4</f>
        <v>2280</v>
      </c>
      <c r="G54" t="s">
        <v>13</v>
      </c>
      <c r="AI54">
        <f>AJ54/60</f>
        <v>46</v>
      </c>
      <c r="AJ54">
        <f>AJ52+60*4</f>
        <v>2760</v>
      </c>
      <c r="AK54" t="s">
        <v>13</v>
      </c>
      <c r="AL54">
        <v>6.1</v>
      </c>
      <c r="AM54">
        <v>6.14</v>
      </c>
      <c r="AN54">
        <v>6.13</v>
      </c>
      <c r="AO54">
        <v>6.15</v>
      </c>
      <c r="AP54">
        <v>6.13</v>
      </c>
      <c r="AW54">
        <v>19.2</v>
      </c>
      <c r="AX54">
        <v>14</v>
      </c>
      <c r="AY54">
        <v>19</v>
      </c>
      <c r="AZ54">
        <f>AW54+273.15</f>
        <v>292.34999999999997</v>
      </c>
    </row>
    <row r="55" spans="1:67" x14ac:dyDescent="0.3">
      <c r="G55" t="s">
        <v>7</v>
      </c>
      <c r="H55">
        <f>SUM(H54:M54)/6</f>
        <v>0</v>
      </c>
      <c r="AK55" t="s">
        <v>7</v>
      </c>
      <c r="AL55">
        <f>SUM(AL54:AQ54)/5</f>
        <v>6.129999999999999</v>
      </c>
    </row>
    <row r="56" spans="1:67" x14ac:dyDescent="0.3">
      <c r="F56">
        <f>F54+60*11</f>
        <v>2940</v>
      </c>
      <c r="G56" t="s">
        <v>13</v>
      </c>
      <c r="AI56">
        <f>AJ56/60</f>
        <v>50</v>
      </c>
      <c r="AJ56">
        <f>AJ54+60*4</f>
        <v>3000</v>
      </c>
      <c r="AK56" t="s">
        <v>13</v>
      </c>
      <c r="AL56">
        <v>6.13</v>
      </c>
      <c r="AM56">
        <v>6.04</v>
      </c>
      <c r="AN56">
        <v>5.97</v>
      </c>
      <c r="AO56">
        <v>6.18</v>
      </c>
      <c r="AP56">
        <v>6.11</v>
      </c>
      <c r="AQ56">
        <v>6.09</v>
      </c>
      <c r="AR56">
        <v>6.03</v>
      </c>
      <c r="AW56">
        <v>18.7</v>
      </c>
      <c r="AX56">
        <v>14</v>
      </c>
      <c r="AY56">
        <v>19</v>
      </c>
      <c r="AZ56">
        <f>AW56+273.15</f>
        <v>291.84999999999997</v>
      </c>
    </row>
    <row r="57" spans="1:67" x14ac:dyDescent="0.3">
      <c r="G57" t="s">
        <v>7</v>
      </c>
      <c r="H57">
        <f>SUM(H56:M56)/6</f>
        <v>0</v>
      </c>
      <c r="AK57" t="s">
        <v>7</v>
      </c>
      <c r="AL57">
        <f>SUM(AL56:AR56)/7</f>
        <v>6.0785714285714283</v>
      </c>
    </row>
    <row r="58" spans="1:67" x14ac:dyDescent="0.3">
      <c r="AI58">
        <f>AJ58/60</f>
        <v>54</v>
      </c>
      <c r="AJ58">
        <f>AJ56+60*4</f>
        <v>3240</v>
      </c>
      <c r="AK58" t="s">
        <v>13</v>
      </c>
      <c r="AL58">
        <v>6.05</v>
      </c>
      <c r="AM58">
        <v>6</v>
      </c>
      <c r="AN58">
        <v>5.95</v>
      </c>
      <c r="AO58">
        <v>6.14</v>
      </c>
      <c r="AP58">
        <v>6.06</v>
      </c>
      <c r="AQ58">
        <v>5.98</v>
      </c>
      <c r="AR58">
        <v>6.05</v>
      </c>
      <c r="AW58">
        <v>18.8</v>
      </c>
      <c r="AX58">
        <v>14</v>
      </c>
      <c r="AY58">
        <v>19</v>
      </c>
      <c r="AZ58">
        <f>AW58+273.15</f>
        <v>291.95</v>
      </c>
    </row>
    <row r="59" spans="1:67" x14ac:dyDescent="0.3">
      <c r="AK59" t="s">
        <v>7</v>
      </c>
      <c r="AL59">
        <f>SUM(AL58:AR58)/7</f>
        <v>6.032857142857142</v>
      </c>
    </row>
    <row r="60" spans="1:67" x14ac:dyDescent="0.3">
      <c r="D60" s="17">
        <v>42481</v>
      </c>
      <c r="E60" t="s">
        <v>65</v>
      </c>
      <c r="F60" s="23"/>
      <c r="AI60">
        <f>AJ60/60</f>
        <v>65</v>
      </c>
      <c r="AJ60">
        <f>AJ58+60*11</f>
        <v>3900</v>
      </c>
      <c r="AK60" t="s">
        <v>13</v>
      </c>
      <c r="AL60">
        <v>6.01</v>
      </c>
      <c r="AM60">
        <v>6.03</v>
      </c>
      <c r="AN60">
        <v>6.08</v>
      </c>
      <c r="AO60">
        <v>6.05</v>
      </c>
      <c r="AP60">
        <v>6.06</v>
      </c>
      <c r="AW60">
        <v>14</v>
      </c>
      <c r="AX60">
        <v>8</v>
      </c>
      <c r="AY60">
        <v>18</v>
      </c>
      <c r="AZ60">
        <f>AW60+273.15</f>
        <v>287.14999999999998</v>
      </c>
    </row>
    <row r="61" spans="1:67" x14ac:dyDescent="0.3">
      <c r="B61" s="5" t="s">
        <v>10</v>
      </c>
      <c r="C61" s="5">
        <v>3</v>
      </c>
      <c r="D61" s="5" t="s">
        <v>11</v>
      </c>
      <c r="E61" s="6"/>
      <c r="F61" s="6"/>
      <c r="G61" t="s">
        <v>153</v>
      </c>
      <c r="H61" t="s">
        <v>153</v>
      </c>
      <c r="J61" t="s">
        <v>152</v>
      </c>
      <c r="AK61" t="s">
        <v>7</v>
      </c>
      <c r="AL61">
        <f>SUM(AL60:AU60)/5</f>
        <v>6.0459999999999994</v>
      </c>
    </row>
    <row r="62" spans="1:67" x14ac:dyDescent="0.3">
      <c r="A62" s="6" t="s">
        <v>12</v>
      </c>
      <c r="C62" s="6" t="s">
        <v>14</v>
      </c>
      <c r="D62" s="6"/>
      <c r="E62" s="6" t="s">
        <v>15</v>
      </c>
      <c r="F62" s="6" t="s">
        <v>22</v>
      </c>
      <c r="G62" t="s">
        <v>154</v>
      </c>
      <c r="H62" t="s">
        <v>156</v>
      </c>
      <c r="I62" s="6" t="s">
        <v>157</v>
      </c>
      <c r="J62" t="s">
        <v>148</v>
      </c>
    </row>
    <row r="63" spans="1:67" x14ac:dyDescent="0.3">
      <c r="A63" s="6" t="s">
        <v>85</v>
      </c>
      <c r="B63" s="6" t="s">
        <v>6</v>
      </c>
      <c r="C63" s="6" t="s">
        <v>13</v>
      </c>
      <c r="D63" s="6" t="s">
        <v>6</v>
      </c>
      <c r="E63" s="7" t="s">
        <v>1</v>
      </c>
      <c r="F63" s="6" t="s">
        <v>23</v>
      </c>
      <c r="G63" t="s">
        <v>155</v>
      </c>
      <c r="H63" t="s">
        <v>155</v>
      </c>
      <c r="I63" s="6" t="s">
        <v>23</v>
      </c>
    </row>
    <row r="64" spans="1:67" x14ac:dyDescent="0.3">
      <c r="A64" s="6">
        <f>B64/60</f>
        <v>1.6666666666666666E-2</v>
      </c>
      <c r="B64" s="16">
        <v>1</v>
      </c>
      <c r="C64" s="9">
        <v>23.91571428571428</v>
      </c>
      <c r="D64" s="9">
        <f t="shared" ref="D64:D71" si="56">C64/60</f>
        <v>0.398595238095238</v>
      </c>
      <c r="E64" s="6">
        <f t="shared" ref="E64:E71" si="57">5/D64</f>
        <v>12.544053521295027</v>
      </c>
      <c r="F64" s="6">
        <f>($C$28-E64)*(10^-3)/60*273.15*1000/(22.4*$B$35*$B$36)</f>
        <v>18.03706313464129</v>
      </c>
      <c r="G64">
        <f t="shared" ref="G64:G71" si="58">(100000*E64/1000000)/(8.314*J64)</f>
        <v>5.2543507154791808E-4</v>
      </c>
      <c r="H64">
        <f>(100000*$C$28/1000000)/(8.314*J64)</f>
        <v>2.099608194959707E-3</v>
      </c>
      <c r="I64">
        <f>(H64-G64)*10^(3)/60/$B$35</f>
        <v>18.162837468694921</v>
      </c>
      <c r="J64">
        <v>287.14999999999998</v>
      </c>
    </row>
    <row r="65" spans="1:135" x14ac:dyDescent="0.3">
      <c r="A65" s="6">
        <f t="shared" ref="A65:A71" si="59">B65/60</f>
        <v>0.16666666666666666</v>
      </c>
      <c r="B65" s="16">
        <v>10</v>
      </c>
      <c r="C65" s="9">
        <v>15.219999999999999</v>
      </c>
      <c r="D65" s="9">
        <f t="shared" si="56"/>
        <v>0.25366666666666665</v>
      </c>
      <c r="E65" s="6">
        <f t="shared" si="57"/>
        <v>19.710906701708279</v>
      </c>
      <c r="F65" s="6">
        <f t="shared" ref="F65:F71" si="60">($C$28-E65)*(10^-3)/60*273.15*1000/(22.4*$B$35*$B$36)</f>
        <v>14.597343867358312</v>
      </c>
      <c r="G65">
        <f t="shared" si="58"/>
        <v>8.1709773609289955E-4</v>
      </c>
      <c r="H65">
        <f t="shared" ref="H65:H71" si="61">(100000*$C$28/1000000)/(8.314*J65)</f>
        <v>2.077899338902912E-3</v>
      </c>
      <c r="I65">
        <f t="shared" ref="I65:I70" si="62">(H65-G65)*10^(3)/60/$B$35</f>
        <v>14.547151295834921</v>
      </c>
      <c r="J65">
        <v>290.14999999999998</v>
      </c>
    </row>
    <row r="66" spans="1:135" x14ac:dyDescent="0.3">
      <c r="A66" s="6">
        <f t="shared" si="59"/>
        <v>0.5</v>
      </c>
      <c r="B66" s="16">
        <v>30</v>
      </c>
      <c r="C66" s="9">
        <v>12.763999999999999</v>
      </c>
      <c r="D66" s="9">
        <f t="shared" si="56"/>
        <v>0.21273333333333333</v>
      </c>
      <c r="E66" s="6">
        <f t="shared" si="57"/>
        <v>23.503603885929177</v>
      </c>
      <c r="F66" s="6">
        <f t="shared" si="60"/>
        <v>12.777045160083516</v>
      </c>
      <c r="G66">
        <f t="shared" si="58"/>
        <v>9.7097409776066078E-4</v>
      </c>
      <c r="H66">
        <f t="shared" si="61"/>
        <v>2.0707624701448734E-3</v>
      </c>
      <c r="I66">
        <f t="shared" si="62"/>
        <v>12.68937778221083</v>
      </c>
      <c r="J66">
        <v>291.14999999999998</v>
      </c>
      <c r="AJ66" s="17">
        <v>42486</v>
      </c>
      <c r="AK66" t="s">
        <v>65</v>
      </c>
      <c r="AL66" s="23"/>
      <c r="BL66" s="17">
        <v>42499</v>
      </c>
      <c r="BM66" t="s">
        <v>65</v>
      </c>
      <c r="BN66" s="23">
        <v>42500</v>
      </c>
      <c r="CM66" s="17">
        <v>42502</v>
      </c>
      <c r="CO66" s="23"/>
      <c r="DY66" s="17">
        <v>42503</v>
      </c>
      <c r="EA66" s="23"/>
    </row>
    <row r="67" spans="1:135" x14ac:dyDescent="0.3">
      <c r="A67" s="6">
        <f t="shared" si="59"/>
        <v>1</v>
      </c>
      <c r="B67" s="16">
        <v>60</v>
      </c>
      <c r="C67" s="9">
        <v>9.452</v>
      </c>
      <c r="D67" s="9">
        <f t="shared" si="56"/>
        <v>0.15753333333333333</v>
      </c>
      <c r="E67" s="6">
        <f t="shared" si="57"/>
        <v>31.739314430808296</v>
      </c>
      <c r="F67" s="6">
        <f t="shared" si="60"/>
        <v>8.8243295779634376</v>
      </c>
      <c r="G67">
        <f t="shared" si="58"/>
        <v>1.3112053939713364E-3</v>
      </c>
      <c r="H67">
        <f t="shared" si="61"/>
        <v>2.0707624701448734E-3</v>
      </c>
      <c r="I67">
        <f t="shared" si="62"/>
        <v>8.7637830411161524</v>
      </c>
      <c r="J67">
        <v>291.14999999999998</v>
      </c>
      <c r="AH67" s="5" t="s">
        <v>10</v>
      </c>
      <c r="AI67" s="5">
        <v>2.2999999999999998</v>
      </c>
      <c r="AJ67" s="5" t="s">
        <v>11</v>
      </c>
      <c r="AK67" s="6"/>
      <c r="AL67" s="6"/>
      <c r="AM67" s="6" t="s">
        <v>153</v>
      </c>
      <c r="AN67" s="6" t="s">
        <v>153</v>
      </c>
      <c r="AO67" s="6"/>
      <c r="AP67" s="6" t="s">
        <v>152</v>
      </c>
      <c r="BJ67" s="5" t="s">
        <v>10</v>
      </c>
      <c r="BK67" s="5">
        <v>0.6</v>
      </c>
      <c r="BL67" s="5" t="s">
        <v>11</v>
      </c>
      <c r="BM67" s="6"/>
      <c r="BN67" s="6"/>
      <c r="BO67" s="6" t="s">
        <v>153</v>
      </c>
      <c r="BP67" s="6" t="s">
        <v>153</v>
      </c>
      <c r="BQ67" s="6"/>
      <c r="BR67" s="6" t="s">
        <v>152</v>
      </c>
      <c r="CK67" s="5" t="s">
        <v>10</v>
      </c>
      <c r="CL67" s="5">
        <v>0.06</v>
      </c>
      <c r="CM67" s="5" t="s">
        <v>11</v>
      </c>
      <c r="CN67" s="6"/>
      <c r="CO67" s="6"/>
      <c r="CP67" s="6" t="s">
        <v>153</v>
      </c>
      <c r="CQ67" s="6" t="s">
        <v>153</v>
      </c>
      <c r="CR67" s="6"/>
      <c r="CS67" s="6" t="s">
        <v>152</v>
      </c>
      <c r="DW67" s="5" t="s">
        <v>10</v>
      </c>
      <c r="DX67" s="5">
        <v>6.0000000000000001E-3</v>
      </c>
      <c r="DY67" s="5" t="s">
        <v>11</v>
      </c>
      <c r="DZ67" s="6"/>
      <c r="EA67" s="6"/>
      <c r="EB67" s="6" t="s">
        <v>153</v>
      </c>
      <c r="EC67" s="6" t="s">
        <v>153</v>
      </c>
      <c r="ED67" s="6"/>
      <c r="EE67" s="6" t="s">
        <v>152</v>
      </c>
    </row>
    <row r="68" spans="1:135" x14ac:dyDescent="0.3">
      <c r="A68" s="6">
        <f t="shared" si="59"/>
        <v>1.5</v>
      </c>
      <c r="B68" s="16">
        <v>90</v>
      </c>
      <c r="C68" s="9">
        <v>8.2880000000000003</v>
      </c>
      <c r="D68" s="9">
        <f t="shared" si="56"/>
        <v>0.13813333333333333</v>
      </c>
      <c r="E68" s="6">
        <f t="shared" si="57"/>
        <v>36.196911196911195</v>
      </c>
      <c r="F68" s="6">
        <f t="shared" si="60"/>
        <v>6.6849134219234863</v>
      </c>
      <c r="G68">
        <f t="shared" si="58"/>
        <v>1.4927927300609979E-3</v>
      </c>
      <c r="H68">
        <f t="shared" si="61"/>
        <v>2.067212388762832E-3</v>
      </c>
      <c r="I68">
        <f t="shared" si="62"/>
        <v>6.6276642287046723</v>
      </c>
      <c r="J68">
        <v>291.64999999999998</v>
      </c>
      <c r="AG68" s="6" t="s">
        <v>12</v>
      </c>
      <c r="AI68" s="6" t="s">
        <v>14</v>
      </c>
      <c r="AJ68" s="6"/>
      <c r="AK68" s="6" t="s">
        <v>15</v>
      </c>
      <c r="AL68" s="6" t="s">
        <v>22</v>
      </c>
      <c r="AM68" s="6" t="s">
        <v>154</v>
      </c>
      <c r="AN68" s="6" t="s">
        <v>156</v>
      </c>
      <c r="AO68" s="6" t="s">
        <v>157</v>
      </c>
      <c r="AP68" s="6" t="s">
        <v>148</v>
      </c>
      <c r="BI68" s="6" t="s">
        <v>12</v>
      </c>
      <c r="BK68" s="6" t="s">
        <v>14</v>
      </c>
      <c r="BL68" s="6"/>
      <c r="BM68" s="6" t="s">
        <v>15</v>
      </c>
      <c r="BN68" s="6" t="s">
        <v>22</v>
      </c>
      <c r="BO68" s="6" t="s">
        <v>154</v>
      </c>
      <c r="BP68" s="6" t="s">
        <v>156</v>
      </c>
      <c r="BQ68" s="6" t="s">
        <v>157</v>
      </c>
      <c r="BR68" s="6" t="s">
        <v>148</v>
      </c>
      <c r="CJ68" s="6" t="s">
        <v>12</v>
      </c>
      <c r="CL68" s="6" t="s">
        <v>14</v>
      </c>
      <c r="CM68" s="6"/>
      <c r="CN68" s="6" t="s">
        <v>15</v>
      </c>
      <c r="CO68" s="6" t="s">
        <v>22</v>
      </c>
      <c r="CP68" s="6" t="s">
        <v>154</v>
      </c>
      <c r="CQ68" s="6" t="s">
        <v>156</v>
      </c>
      <c r="CR68" s="6" t="s">
        <v>157</v>
      </c>
      <c r="CS68" s="6" t="s">
        <v>148</v>
      </c>
      <c r="DV68" s="6" t="s">
        <v>12</v>
      </c>
      <c r="DX68" s="6" t="s">
        <v>14</v>
      </c>
      <c r="DY68" s="6"/>
      <c r="DZ68" s="6" t="s">
        <v>15</v>
      </c>
      <c r="EA68" s="6" t="s">
        <v>22</v>
      </c>
      <c r="EB68" s="6" t="s">
        <v>154</v>
      </c>
      <c r="EC68" s="6" t="s">
        <v>156</v>
      </c>
      <c r="ED68" s="6" t="s">
        <v>157</v>
      </c>
      <c r="EE68" s="6" t="s">
        <v>148</v>
      </c>
    </row>
    <row r="69" spans="1:135" x14ac:dyDescent="0.3">
      <c r="A69" s="6">
        <f t="shared" si="59"/>
        <v>2</v>
      </c>
      <c r="B69" s="16">
        <v>120</v>
      </c>
      <c r="C69" s="9">
        <v>7.5780000000000003</v>
      </c>
      <c r="D69" s="9">
        <f t="shared" si="56"/>
        <v>0.1263</v>
      </c>
      <c r="E69" s="6">
        <f t="shared" si="57"/>
        <v>39.588281868566902</v>
      </c>
      <c r="F69" s="6">
        <f t="shared" si="60"/>
        <v>5.0572307070503051</v>
      </c>
      <c r="G69">
        <f t="shared" si="58"/>
        <v>1.6298616570103873E-3</v>
      </c>
      <c r="H69">
        <f t="shared" si="61"/>
        <v>2.0636744589514976E-3</v>
      </c>
      <c r="I69">
        <f t="shared" si="62"/>
        <v>5.0053398170198493</v>
      </c>
      <c r="J69">
        <v>292.14999999999998</v>
      </c>
      <c r="AG69" s="6" t="s">
        <v>85</v>
      </c>
      <c r="AH69" s="6" t="s">
        <v>6</v>
      </c>
      <c r="AI69" s="6" t="s">
        <v>13</v>
      </c>
      <c r="AJ69" s="6" t="s">
        <v>6</v>
      </c>
      <c r="AK69" s="7" t="s">
        <v>1</v>
      </c>
      <c r="AL69" s="6" t="s">
        <v>23</v>
      </c>
      <c r="AM69" s="6" t="s">
        <v>155</v>
      </c>
      <c r="AN69" s="6" t="s">
        <v>155</v>
      </c>
      <c r="AO69" s="6" t="s">
        <v>23</v>
      </c>
      <c r="AP69" s="6"/>
      <c r="BI69" s="6" t="s">
        <v>85</v>
      </c>
      <c r="BJ69" s="6" t="s">
        <v>6</v>
      </c>
      <c r="BK69" s="6" t="s">
        <v>13</v>
      </c>
      <c r="BL69" s="6" t="s">
        <v>6</v>
      </c>
      <c r="BM69" s="7" t="s">
        <v>1</v>
      </c>
      <c r="BN69" s="6" t="s">
        <v>23</v>
      </c>
      <c r="BO69" s="6" t="s">
        <v>155</v>
      </c>
      <c r="BP69" s="6" t="s">
        <v>155</v>
      </c>
      <c r="BQ69" s="6" t="s">
        <v>23</v>
      </c>
      <c r="BR69" s="6"/>
      <c r="CJ69" s="6" t="s">
        <v>85</v>
      </c>
      <c r="CK69" s="6" t="s">
        <v>6</v>
      </c>
      <c r="CL69" s="6" t="s">
        <v>13</v>
      </c>
      <c r="CM69" s="6" t="s">
        <v>6</v>
      </c>
      <c r="CN69" s="7" t="s">
        <v>1</v>
      </c>
      <c r="CO69" s="6" t="s">
        <v>23</v>
      </c>
      <c r="CP69" s="6" t="s">
        <v>155</v>
      </c>
      <c r="CQ69" s="6" t="s">
        <v>155</v>
      </c>
      <c r="CR69" s="6" t="s">
        <v>23</v>
      </c>
      <c r="CS69" s="6"/>
      <c r="DV69" s="6" t="s">
        <v>85</v>
      </c>
      <c r="DW69" s="6" t="s">
        <v>6</v>
      </c>
      <c r="DX69" s="6" t="s">
        <v>13</v>
      </c>
      <c r="DY69" s="6" t="s">
        <v>6</v>
      </c>
      <c r="DZ69" s="7" t="s">
        <v>1</v>
      </c>
      <c r="EA69" s="6" t="s">
        <v>23</v>
      </c>
      <c r="EB69" s="6" t="s">
        <v>155</v>
      </c>
      <c r="EC69" s="6" t="s">
        <v>155</v>
      </c>
      <c r="ED69" s="6" t="s">
        <v>23</v>
      </c>
      <c r="EE69" s="6"/>
    </row>
    <row r="70" spans="1:135" x14ac:dyDescent="0.3">
      <c r="A70" s="6">
        <f t="shared" si="59"/>
        <v>4</v>
      </c>
      <c r="B70" s="16">
        <v>240</v>
      </c>
      <c r="C70" s="9">
        <v>7.1219999999999999</v>
      </c>
      <c r="D70" s="9">
        <f t="shared" si="56"/>
        <v>0.1187</v>
      </c>
      <c r="E70" s="6">
        <f t="shared" si="57"/>
        <v>42.122999157540015</v>
      </c>
      <c r="F70" s="6">
        <f t="shared" si="60"/>
        <v>3.8406973587986579</v>
      </c>
      <c r="G70">
        <f t="shared" si="58"/>
        <v>1.7342167420422233E-3</v>
      </c>
      <c r="H70">
        <f t="shared" si="61"/>
        <v>2.0636744589514976E-3</v>
      </c>
      <c r="I70">
        <f t="shared" si="62"/>
        <v>3.8012889916842547</v>
      </c>
      <c r="J70">
        <v>292.14999999999998</v>
      </c>
      <c r="AG70" s="6">
        <f>AH70/60</f>
        <v>1.6666666666666666E-2</v>
      </c>
      <c r="AH70" s="16">
        <v>1</v>
      </c>
      <c r="AI70" s="9">
        <v>12.215000000000002</v>
      </c>
      <c r="AJ70" s="9">
        <f t="shared" ref="AJ70:AJ86" si="63">AI70/60</f>
        <v>0.20358333333333337</v>
      </c>
      <c r="AK70" s="6">
        <f t="shared" ref="AK70:AK86" si="64">5/AJ70</f>
        <v>24.559967253376993</v>
      </c>
      <c r="AL70" s="6">
        <f t="shared" ref="AL70:AL86" si="65">($AG$28-AK70)*(10^-3)/60*273.15*1000/(22.4*$AF$35*$AF$36)</f>
        <v>12.15801942420998</v>
      </c>
      <c r="AM70" s="6">
        <f t="shared" ref="AM70:AM86" si="66">(100000*AK70/1000000)/(8.314*AP70)</f>
        <v>1.0216321857736195E-3</v>
      </c>
      <c r="AN70" s="6">
        <f t="shared" ref="AN70:AN86" si="67">(100000*$AG$28/1000000)/(8.314*AP70)</f>
        <v>2.0753762097496698E-3</v>
      </c>
      <c r="AO70" s="6">
        <f t="shared" ref="AO70:AO83" si="68">(AN70-AM70)*10^(3)/60/$AF$35</f>
        <v>12.158117272136266</v>
      </c>
      <c r="AP70" s="6">
        <v>289.14999999999998</v>
      </c>
      <c r="BI70" s="6">
        <f>BJ70/60</f>
        <v>1.6666666666666666E-2</v>
      </c>
      <c r="BJ70" s="16">
        <v>1</v>
      </c>
      <c r="BK70" s="9">
        <v>6.8883333333333328</v>
      </c>
      <c r="BL70" s="9">
        <f>BK70/60</f>
        <v>0.11480555555555555</v>
      </c>
      <c r="BM70" s="6">
        <f>5/BL70</f>
        <v>43.551899346721513</v>
      </c>
      <c r="BN70" s="6">
        <f>($BJ$28-BM70)*(10^-3)/60*273.15*1000/(22.4*$BI$35*$BI$36)</f>
        <v>3.3303539500154438</v>
      </c>
      <c r="BO70" s="6">
        <f>(98800*BM70/1000000)/(8.314*BR70)</f>
        <v>1.7271885178912266E-3</v>
      </c>
      <c r="BP70" s="9">
        <f>(98800*$BJ$28/1000000)/(8.314*BR70)</f>
        <v>2.0023759170952143E-3</v>
      </c>
      <c r="BQ70" s="6">
        <f>(BP70-BO70)*10^(3)/60/$BI$35</f>
        <v>3.1751171016959461</v>
      </c>
      <c r="BR70" s="6">
        <v>299.64999999999998</v>
      </c>
      <c r="CJ70" s="6">
        <f>CK70/60</f>
        <v>1.6666666666666666E-2</v>
      </c>
      <c r="CK70" s="16">
        <v>1</v>
      </c>
      <c r="CL70" s="9">
        <v>12.171428571428573</v>
      </c>
      <c r="CM70" s="9">
        <f>CL70/60</f>
        <v>0.20285714285714287</v>
      </c>
      <c r="CN70" s="6">
        <f>10/CM70</f>
        <v>49.29577464788732</v>
      </c>
      <c r="CO70" s="6">
        <f t="shared" ref="CO70:CO75" si="69">($CL$28-CN70)*(10^-3)/60*273.15*1000/(22.4*$CK$35*$CK$36)</f>
        <v>0.54643110390247251</v>
      </c>
      <c r="CP70" s="6">
        <f>(98800*CN70/1000000)/(8.314*CS70)</f>
        <v>1.9928892087828897E-3</v>
      </c>
      <c r="CQ70" s="9">
        <f>(98800*$BJ$28/1000000)/(8.314*CS70)</f>
        <v>2.0412040944296004E-3</v>
      </c>
      <c r="CR70" s="6">
        <f>(CQ70-CP70)*10^(3)/60/$BI$35</f>
        <v>0.55745800907708254</v>
      </c>
      <c r="CS70" s="6">
        <v>293.95</v>
      </c>
      <c r="DV70" s="6">
        <f>DW70/60</f>
        <v>1.6666666666666666E-2</v>
      </c>
      <c r="DW70" s="16">
        <v>1</v>
      </c>
      <c r="DX70" s="9">
        <v>12.074</v>
      </c>
      <c r="DY70" s="9">
        <f>DX70/60</f>
        <v>0.20123333333333332</v>
      </c>
      <c r="DZ70" s="6">
        <f>10/DY70</f>
        <v>49.693556402186523</v>
      </c>
      <c r="EA70" s="6">
        <f>($DX$28-DZ70)*(10^-3)/60*273.15*1000/(22.4*$DW$35*$DW$36)</f>
        <v>0.3487360604654936</v>
      </c>
      <c r="EB70" s="6">
        <f>(99350*DZ70/1000000)/(8.314*EE70)</f>
        <v>2.0305154785118496E-3</v>
      </c>
      <c r="EC70" s="9">
        <f>(99350*$BJ$28/1000000)/(8.314*EE70)</f>
        <v>2.0630948572975096E-3</v>
      </c>
      <c r="ED70" s="6">
        <f>(EC70-EB70)*10^(3)/60/$DW$35</f>
        <v>0.37590145131718</v>
      </c>
      <c r="EE70" s="6">
        <v>292.45</v>
      </c>
    </row>
    <row r="71" spans="1:135" x14ac:dyDescent="0.3">
      <c r="A71" s="6">
        <f t="shared" si="59"/>
        <v>6</v>
      </c>
      <c r="B71" s="7">
        <v>360</v>
      </c>
      <c r="C71" s="9">
        <v>6.8</v>
      </c>
      <c r="D71" s="9">
        <f t="shared" si="56"/>
        <v>0.11333333333333333</v>
      </c>
      <c r="E71" s="6">
        <f t="shared" si="57"/>
        <v>44.117647058823529</v>
      </c>
      <c r="F71" s="6">
        <f t="shared" si="60"/>
        <v>2.8833694151704297</v>
      </c>
      <c r="G71">
        <f t="shared" si="58"/>
        <v>1.8058290152530502E-3</v>
      </c>
      <c r="H71">
        <f t="shared" si="61"/>
        <v>2.051735556177233E-3</v>
      </c>
      <c r="J71">
        <v>293.84999999999997</v>
      </c>
      <c r="K71" s="29" t="s">
        <v>158</v>
      </c>
      <c r="AG71" s="6">
        <f t="shared" ref="AG71:AG86" si="70">AH71/60</f>
        <v>0.16666666666666666</v>
      </c>
      <c r="AH71" s="16">
        <v>10</v>
      </c>
      <c r="AI71" s="9">
        <v>11.913999999999998</v>
      </c>
      <c r="AJ71" s="9">
        <f t="shared" si="63"/>
        <v>0.19856666666666664</v>
      </c>
      <c r="AK71" s="6">
        <f t="shared" si="64"/>
        <v>25.18045996306866</v>
      </c>
      <c r="AL71" s="6">
        <f t="shared" si="65"/>
        <v>11.860214979915227</v>
      </c>
      <c r="AM71" s="6">
        <f t="shared" si="66"/>
        <v>1.0452741111988057E-3</v>
      </c>
      <c r="AN71" s="6">
        <f t="shared" si="67"/>
        <v>2.0710786231203345E-3</v>
      </c>
      <c r="AO71" s="6">
        <f t="shared" si="68"/>
        <v>11.835750685606655</v>
      </c>
      <c r="AP71" s="6">
        <v>289.75</v>
      </c>
      <c r="BI71" s="6">
        <f t="shared" ref="BI71:BI80" si="71">BJ71/60</f>
        <v>0.16666666666666666</v>
      </c>
      <c r="BJ71" s="16">
        <v>10</v>
      </c>
      <c r="BK71" s="9">
        <v>6.8620000000000001</v>
      </c>
      <c r="BL71" s="9">
        <f t="shared" ref="BL71:BL80" si="72">BK71/60</f>
        <v>0.11436666666666667</v>
      </c>
      <c r="BM71" s="6">
        <f t="shared" ref="BM71:BM80" si="73">5/BL71</f>
        <v>43.719032352083936</v>
      </c>
      <c r="BN71" s="6">
        <f t="shared" ref="BN71:BN80" si="74">($BJ$28-BM71)*(10^-3)/60*273.15*1000/(22.4*$BI$35*$BI$36)</f>
        <v>3.2501387419914831</v>
      </c>
      <c r="BO71" s="6">
        <f t="shared" ref="BO71:BO80" si="75">(98800*BM71/1000000)/(8.314*BR71)</f>
        <v>1.7338167066075097E-3</v>
      </c>
      <c r="BP71" s="9">
        <f t="shared" ref="BP71:BP80" si="76">(98800*$BJ$28/1000000)/(8.314*BR71)</f>
        <v>2.0023759170952143E-3</v>
      </c>
      <c r="BQ71" s="6">
        <f t="shared" ref="BQ71:BQ80" si="77">(BP71-BO71)*10^(3)/60/$BI$35</f>
        <v>3.0986409425141868</v>
      </c>
      <c r="BR71" s="6">
        <v>299.64999999999998</v>
      </c>
      <c r="CJ71" s="6">
        <f t="shared" ref="CJ71:CJ76" si="78">CK71/60</f>
        <v>0.16666666666666666</v>
      </c>
      <c r="CK71" s="16">
        <v>10</v>
      </c>
      <c r="CL71" s="9">
        <v>12.127999999999998</v>
      </c>
      <c r="CM71" s="9">
        <f t="shared" ref="CM71:CM76" si="79">CL71/60</f>
        <v>0.2021333333333333</v>
      </c>
      <c r="CN71" s="6">
        <f t="shared" ref="CN71:CN76" si="80">10/CM71</f>
        <v>49.472295514511877</v>
      </c>
      <c r="CO71" s="6">
        <f t="shared" si="69"/>
        <v>0.46171020747537889</v>
      </c>
      <c r="CP71" s="6">
        <f t="shared" ref="CP71:CP76" si="81">(98800*CN71/1000000)/(8.314*CS71)</f>
        <v>1.9905450515521144E-3</v>
      </c>
      <c r="CQ71" s="9">
        <f t="shared" ref="CQ71:CQ76" si="82">(98800*$BJ$28/1000000)/(8.314*CS71)</f>
        <v>2.0315285036654174E-3</v>
      </c>
      <c r="CR71" s="6">
        <f t="shared" ref="CR71:CR76" si="83">(CQ71-CP71)*10^(3)/60/$BI$35</f>
        <v>0.47286779869970041</v>
      </c>
      <c r="CS71" s="6">
        <v>295.34999999999997</v>
      </c>
      <c r="DV71" s="6">
        <f t="shared" ref="DV71:DV76" si="84">DW71/60</f>
        <v>0.16666666666666666</v>
      </c>
      <c r="DW71" s="16">
        <v>10</v>
      </c>
      <c r="DX71" s="9">
        <v>12.041999999999998</v>
      </c>
      <c r="DY71" s="9">
        <f t="shared" ref="DY71:DY76" si="85">DX71/60</f>
        <v>0.20069999999999996</v>
      </c>
      <c r="DZ71" s="6">
        <f t="shared" ref="DZ71:DZ76" si="86">10/DY71</f>
        <v>49.825610363726966</v>
      </c>
      <c r="EA71" s="6">
        <f t="shared" ref="EA71:EA76" si="87">($DX$28-DZ71)*(10^-3)/60*273.15*1000/(22.4*$DW$35*$DW$36)</f>
        <v>0.28535698119635272</v>
      </c>
      <c r="EB71" s="6">
        <f t="shared" ref="EB71:EB76" si="88">(99350*DZ71/1000000)/(8.314*EE71)</f>
        <v>2.0275915545702431E-3</v>
      </c>
      <c r="EC71" s="9">
        <f t="shared" ref="EC71:EC76" si="89">(99350*$BJ$28/1000000)/(8.314*EE71)</f>
        <v>2.0546640252567909E-3</v>
      </c>
      <c r="ED71" s="6">
        <f t="shared" ref="ED71:ED76" si="90">(EC71-EB71)*10^(3)/60/$DW$35</f>
        <v>0.31236264781986667</v>
      </c>
      <c r="EE71" s="6">
        <v>293.64999999999998</v>
      </c>
    </row>
    <row r="72" spans="1:135" x14ac:dyDescent="0.3">
      <c r="A72" s="6"/>
      <c r="B72" s="7"/>
      <c r="C72" s="8"/>
      <c r="D72" s="9"/>
      <c r="E72" s="6"/>
      <c r="F72" s="6"/>
      <c r="AG72" s="6">
        <f t="shared" si="70"/>
        <v>0.5</v>
      </c>
      <c r="AH72" s="16">
        <v>30</v>
      </c>
      <c r="AI72" s="9">
        <v>9.9220000000000006</v>
      </c>
      <c r="AJ72" s="9">
        <f t="shared" si="63"/>
        <v>0.16536666666666669</v>
      </c>
      <c r="AK72" s="6">
        <f t="shared" si="64"/>
        <v>30.235839548478125</v>
      </c>
      <c r="AL72" s="6">
        <f t="shared" si="65"/>
        <v>9.4338939537100721</v>
      </c>
      <c r="AM72" s="6">
        <f t="shared" si="66"/>
        <v>1.2525358973398191E-3</v>
      </c>
      <c r="AN72" s="6">
        <f t="shared" si="67"/>
        <v>2.0667987981715756E-3</v>
      </c>
      <c r="AO72" s="6">
        <f t="shared" si="68"/>
        <v>9.3949798180657247</v>
      </c>
      <c r="AP72" s="6">
        <v>290.34999999999997</v>
      </c>
      <c r="BI72" s="6">
        <f t="shared" si="71"/>
        <v>0.5</v>
      </c>
      <c r="BJ72" s="16">
        <v>30</v>
      </c>
      <c r="BK72" s="9">
        <v>6.6360000000000001</v>
      </c>
      <c r="BL72" s="9">
        <f t="shared" si="72"/>
        <v>0.1106</v>
      </c>
      <c r="BM72" s="6">
        <f t="shared" si="73"/>
        <v>45.207956600361662</v>
      </c>
      <c r="BN72" s="6">
        <f t="shared" si="74"/>
        <v>2.5355320247334068</v>
      </c>
      <c r="BO72" s="6">
        <f t="shared" si="75"/>
        <v>1.790474625857495E-3</v>
      </c>
      <c r="BP72" s="9">
        <f t="shared" si="76"/>
        <v>1.9997065274373637E-3</v>
      </c>
      <c r="BQ72" s="6">
        <f t="shared" si="77"/>
        <v>2.414121398175479</v>
      </c>
      <c r="BR72" s="6">
        <v>300.04999999999995</v>
      </c>
      <c r="CJ72" s="6">
        <f t="shared" si="78"/>
        <v>0.5</v>
      </c>
      <c r="CK72" s="16">
        <v>30</v>
      </c>
      <c r="CL72" s="9">
        <v>11.965999999999999</v>
      </c>
      <c r="CM72" s="9">
        <f t="shared" si="79"/>
        <v>0.19943333333333332</v>
      </c>
      <c r="CN72" s="6">
        <f t="shared" si="80"/>
        <v>50.142069196055495</v>
      </c>
      <c r="CO72" s="6">
        <f t="shared" si="69"/>
        <v>0.14025344268202078</v>
      </c>
      <c r="CP72" s="6">
        <f t="shared" si="81"/>
        <v>2.015446586591408E-3</v>
      </c>
      <c r="CQ72" s="9">
        <f t="shared" si="82"/>
        <v>2.0294670845850868E-3</v>
      </c>
      <c r="CR72" s="6">
        <f t="shared" si="83"/>
        <v>0.16176875497494925</v>
      </c>
      <c r="CS72" s="6">
        <v>295.64999999999998</v>
      </c>
      <c r="DV72" s="6">
        <f t="shared" si="84"/>
        <v>0.5</v>
      </c>
      <c r="DW72" s="16">
        <v>30</v>
      </c>
      <c r="DX72" s="9">
        <v>11.991999999999999</v>
      </c>
      <c r="DY72" s="9">
        <f t="shared" si="85"/>
        <v>0.19986666666666666</v>
      </c>
      <c r="DZ72" s="6">
        <f t="shared" si="86"/>
        <v>50.033355570380252</v>
      </c>
      <c r="EA72" s="6">
        <f t="shared" si="87"/>
        <v>0.1856500146906169</v>
      </c>
      <c r="EB72" s="6">
        <f t="shared" si="88"/>
        <v>2.0353523668018682E-3</v>
      </c>
      <c r="EC72" s="9">
        <f t="shared" si="89"/>
        <v>2.0539645651630862E-3</v>
      </c>
      <c r="ED72" s="6">
        <f t="shared" si="90"/>
        <v>0.21474787540346094</v>
      </c>
      <c r="EE72" s="6">
        <v>293.75</v>
      </c>
    </row>
    <row r="73" spans="1:135" x14ac:dyDescent="0.3">
      <c r="A73" s="6"/>
      <c r="B73" s="7"/>
      <c r="C73" s="8"/>
      <c r="D73" s="9"/>
      <c r="E73" s="6"/>
      <c r="F73" s="6"/>
      <c r="AG73" s="6">
        <f t="shared" si="70"/>
        <v>1</v>
      </c>
      <c r="AH73" s="16">
        <v>60</v>
      </c>
      <c r="AI73" s="9">
        <v>8.3240000000000016</v>
      </c>
      <c r="AJ73" s="9">
        <f t="shared" si="63"/>
        <v>0.13873333333333335</v>
      </c>
      <c r="AK73" s="6">
        <f t="shared" si="64"/>
        <v>36.040365209034114</v>
      </c>
      <c r="AL73" s="6">
        <f t="shared" si="65"/>
        <v>6.648021514377974</v>
      </c>
      <c r="AM73" s="6">
        <f t="shared" si="66"/>
        <v>1.4899126292931184E-3</v>
      </c>
      <c r="AN73" s="6">
        <f t="shared" si="67"/>
        <v>2.0625366250184465E-3</v>
      </c>
      <c r="AO73" s="6">
        <f t="shared" si="68"/>
        <v>6.6069458373754246</v>
      </c>
      <c r="AP73" s="6">
        <v>290.95</v>
      </c>
      <c r="BI73" s="6">
        <f t="shared" si="71"/>
        <v>1</v>
      </c>
      <c r="BJ73" s="16">
        <v>60</v>
      </c>
      <c r="BK73" s="9">
        <v>6.4640000000000004</v>
      </c>
      <c r="BL73" s="9">
        <f t="shared" si="72"/>
        <v>0.10773333333333333</v>
      </c>
      <c r="BM73" s="6">
        <f t="shared" si="73"/>
        <v>46.410891089108908</v>
      </c>
      <c r="BN73" s="6">
        <f t="shared" si="74"/>
        <v>1.9581856170336596</v>
      </c>
      <c r="BO73" s="6">
        <f t="shared" si="75"/>
        <v>1.8387300134995476E-3</v>
      </c>
      <c r="BP73" s="9">
        <f t="shared" si="76"/>
        <v>2.0003732073931688E-3</v>
      </c>
      <c r="BQ73" s="6">
        <f t="shared" si="77"/>
        <v>1.8650420433093473</v>
      </c>
      <c r="BR73" s="6">
        <v>299.95</v>
      </c>
      <c r="CJ73" s="6">
        <f t="shared" si="78"/>
        <v>1</v>
      </c>
      <c r="CK73" s="16">
        <v>60</v>
      </c>
      <c r="CL73" s="9">
        <v>11.963333333333336</v>
      </c>
      <c r="CM73" s="9">
        <f t="shared" si="79"/>
        <v>0.19938888888888895</v>
      </c>
      <c r="CN73" s="6">
        <f t="shared" si="80"/>
        <v>50.153246029534671</v>
      </c>
      <c r="CO73" s="6">
        <f t="shared" si="69"/>
        <v>0.13488914003792518</v>
      </c>
      <c r="CP73" s="6">
        <f t="shared" si="81"/>
        <v>2.0111341454613144E-3</v>
      </c>
      <c r="CQ73" s="9">
        <f t="shared" si="82"/>
        <v>2.0246733374644204E-3</v>
      </c>
      <c r="CR73" s="6">
        <f t="shared" si="83"/>
        <v>0.15621543790361181</v>
      </c>
      <c r="CS73" s="6">
        <v>296.34999999999997</v>
      </c>
      <c r="DV73" s="6">
        <f t="shared" si="84"/>
        <v>1</v>
      </c>
      <c r="DW73" s="16">
        <v>60</v>
      </c>
      <c r="DX73" s="9">
        <v>11.98</v>
      </c>
      <c r="DY73" s="9">
        <f t="shared" si="85"/>
        <v>0.19966666666666669</v>
      </c>
      <c r="DZ73" s="6">
        <f t="shared" si="86"/>
        <v>50.083472454090142</v>
      </c>
      <c r="EA73" s="6">
        <f t="shared" si="87"/>
        <v>0.16159649968570236</v>
      </c>
      <c r="EB73" s="6">
        <f t="shared" si="88"/>
        <v>2.0346205699267607E-3</v>
      </c>
      <c r="EC73" s="9">
        <f t="shared" si="89"/>
        <v>2.0511714805937675E-3</v>
      </c>
      <c r="ED73" s="6">
        <f t="shared" si="90"/>
        <v>0.19096470136156463</v>
      </c>
      <c r="EE73" s="6">
        <v>294.14999999999998</v>
      </c>
    </row>
    <row r="74" spans="1:135" x14ac:dyDescent="0.3">
      <c r="A74" s="6"/>
      <c r="B74" s="6"/>
      <c r="C74" s="8"/>
      <c r="D74" s="9"/>
      <c r="E74" s="6"/>
      <c r="F74" s="6"/>
      <c r="AG74" s="6">
        <f t="shared" si="70"/>
        <v>1.5</v>
      </c>
      <c r="AH74" s="16">
        <v>90</v>
      </c>
      <c r="AI74" s="9">
        <v>7.6420000000000003</v>
      </c>
      <c r="AJ74" s="9">
        <f t="shared" si="63"/>
        <v>0.12736666666666668</v>
      </c>
      <c r="AK74" s="6">
        <f t="shared" si="64"/>
        <v>39.256739073540956</v>
      </c>
      <c r="AL74" s="6">
        <f t="shared" si="65"/>
        <v>5.10432822612065</v>
      </c>
      <c r="AM74" s="6">
        <f t="shared" si="66"/>
        <v>1.623435853326844E-3</v>
      </c>
      <c r="AN74" s="6">
        <f t="shared" si="67"/>
        <v>2.0632457660275639E-3</v>
      </c>
      <c r="AO74" s="6">
        <f t="shared" si="68"/>
        <v>5.0745345875241705</v>
      </c>
      <c r="AP74" s="6">
        <v>290.84999999999997</v>
      </c>
      <c r="BI74" s="6">
        <f t="shared" si="71"/>
        <v>1.5</v>
      </c>
      <c r="BJ74" s="16">
        <v>90</v>
      </c>
      <c r="BK74" s="9">
        <v>6.3519999999999994</v>
      </c>
      <c r="BL74" s="9">
        <f t="shared" si="72"/>
        <v>0.10586666666666665</v>
      </c>
      <c r="BM74" s="6">
        <f t="shared" si="73"/>
        <v>47.229219143576834</v>
      </c>
      <c r="BN74" s="6">
        <f t="shared" si="74"/>
        <v>1.565430427963467</v>
      </c>
      <c r="BO74" s="6">
        <f t="shared" si="75"/>
        <v>1.8705273326810987E-3</v>
      </c>
      <c r="BP74" s="9">
        <f t="shared" si="76"/>
        <v>1.9997065274373637E-3</v>
      </c>
      <c r="BQ74" s="6">
        <f t="shared" si="77"/>
        <v>1.4904718444244265</v>
      </c>
      <c r="BR74" s="6">
        <v>300.04999999999995</v>
      </c>
      <c r="CJ74" s="6">
        <f t="shared" si="78"/>
        <v>1.5</v>
      </c>
      <c r="CK74" s="16">
        <v>90</v>
      </c>
      <c r="CL74" s="9">
        <v>11.936</v>
      </c>
      <c r="CM74" s="9">
        <f t="shared" si="79"/>
        <v>0.19893333333333332</v>
      </c>
      <c r="CN74" s="6">
        <f t="shared" si="80"/>
        <v>50.268096514745309</v>
      </c>
      <c r="CO74" s="6">
        <f t="shared" si="69"/>
        <v>7.9766840628262656E-2</v>
      </c>
      <c r="CP74" s="6">
        <f t="shared" si="81"/>
        <v>2.0116667377486348E-3</v>
      </c>
      <c r="CQ74" s="9">
        <f t="shared" si="82"/>
        <v>2.0205823995877452E-3</v>
      </c>
      <c r="CR74" s="6">
        <f t="shared" si="83"/>
        <v>0.10286906471801535</v>
      </c>
      <c r="CS74" s="6">
        <v>296.95</v>
      </c>
      <c r="DV74" s="6">
        <f t="shared" si="84"/>
        <v>1.5</v>
      </c>
      <c r="DW74" s="16">
        <v>90</v>
      </c>
      <c r="DX74" s="9">
        <v>11.92</v>
      </c>
      <c r="DY74" s="9">
        <f t="shared" si="85"/>
        <v>0.19866666666666666</v>
      </c>
      <c r="DZ74" s="6">
        <f t="shared" si="86"/>
        <v>50.335570469798661</v>
      </c>
      <c r="EA74" s="6">
        <f t="shared" si="87"/>
        <v>4.0602476221362531E-2</v>
      </c>
      <c r="EB74" s="6">
        <f t="shared" si="88"/>
        <v>2.042085018471643E-3</v>
      </c>
      <c r="EC74" s="9">
        <f t="shared" si="89"/>
        <v>2.0483859820630002E-3</v>
      </c>
      <c r="ED74" s="6">
        <f t="shared" si="90"/>
        <v>7.2700629876049333E-2</v>
      </c>
      <c r="EE74" s="6">
        <v>294.54999999999995</v>
      </c>
    </row>
    <row r="75" spans="1:135" x14ac:dyDescent="0.3">
      <c r="A75" s="6"/>
      <c r="B75" s="6"/>
      <c r="C75" s="8"/>
      <c r="D75" s="9"/>
      <c r="E75" s="6"/>
      <c r="F75" s="6"/>
      <c r="AG75" s="6">
        <f t="shared" si="70"/>
        <v>2</v>
      </c>
      <c r="AH75" s="16">
        <v>120</v>
      </c>
      <c r="AI75" s="9">
        <v>7.2739999999999991</v>
      </c>
      <c r="AJ75" s="9">
        <f t="shared" si="63"/>
        <v>0.12123333333333332</v>
      </c>
      <c r="AK75" s="6">
        <f t="shared" si="64"/>
        <v>41.24278251306022</v>
      </c>
      <c r="AL75" s="6">
        <f t="shared" si="65"/>
        <v>4.1511299796091388</v>
      </c>
      <c r="AM75" s="6">
        <f t="shared" si="66"/>
        <v>1.7085044230692448E-3</v>
      </c>
      <c r="AN75" s="6">
        <f t="shared" si="67"/>
        <v>2.0667987981715756E-3</v>
      </c>
      <c r="AO75" s="6">
        <f t="shared" si="68"/>
        <v>4.1340068663012666</v>
      </c>
      <c r="AP75" s="6">
        <v>290.34999999999997</v>
      </c>
      <c r="BI75" s="6">
        <f t="shared" si="71"/>
        <v>2</v>
      </c>
      <c r="BJ75" s="16">
        <v>120</v>
      </c>
      <c r="BK75" s="9">
        <v>6.2439999999999998</v>
      </c>
      <c r="BL75" s="9">
        <f t="shared" si="72"/>
        <v>0.10406666666666667</v>
      </c>
      <c r="BM75" s="6">
        <f t="shared" si="73"/>
        <v>48.046124279308138</v>
      </c>
      <c r="BN75" s="6">
        <f t="shared" si="74"/>
        <v>1.1733581663749637</v>
      </c>
      <c r="BO75" s="6">
        <f t="shared" si="75"/>
        <v>1.9041503266249615E-3</v>
      </c>
      <c r="BP75" s="9">
        <f t="shared" si="76"/>
        <v>2.0010403320246156E-3</v>
      </c>
      <c r="BQ75" s="6">
        <f t="shared" si="77"/>
        <v>1.1179186038958591</v>
      </c>
      <c r="BR75" s="6">
        <v>299.84999999999997</v>
      </c>
      <c r="CJ75" s="6">
        <f t="shared" si="78"/>
        <v>2</v>
      </c>
      <c r="CK75" s="16">
        <v>120</v>
      </c>
      <c r="CL75" s="9">
        <v>11.92</v>
      </c>
      <c r="CM75" s="9">
        <f t="shared" si="79"/>
        <v>0.19866666666666666</v>
      </c>
      <c r="CN75" s="6">
        <f t="shared" si="80"/>
        <v>50.335570469798661</v>
      </c>
      <c r="CO75" s="6">
        <f t="shared" si="69"/>
        <v>4.7382828092454504E-2</v>
      </c>
      <c r="CP75" s="6">
        <f t="shared" si="81"/>
        <v>2.0103050554009655E-3</v>
      </c>
      <c r="CQ75" s="9">
        <f t="shared" si="82"/>
        <v>2.0165079602002386E-3</v>
      </c>
      <c r="CR75" s="6">
        <f t="shared" si="83"/>
        <v>7.1569225790620999E-2</v>
      </c>
      <c r="CS75" s="6">
        <v>297.54999999999995</v>
      </c>
      <c r="DV75" s="6">
        <f t="shared" si="84"/>
        <v>2</v>
      </c>
      <c r="DW75" s="16">
        <v>120</v>
      </c>
      <c r="DX75" s="9">
        <v>11.91</v>
      </c>
      <c r="DY75" s="9">
        <f t="shared" si="85"/>
        <v>0.19850000000000001</v>
      </c>
      <c r="DZ75" s="6">
        <f t="shared" si="86"/>
        <v>50.377833753148614</v>
      </c>
      <c r="EA75" s="6">
        <f t="shared" si="87"/>
        <v>2.0318283650657156E-2</v>
      </c>
      <c r="EB75" s="6">
        <f t="shared" si="88"/>
        <v>2.0410278919649537E-3</v>
      </c>
      <c r="EC75" s="9">
        <f t="shared" si="89"/>
        <v>2.0456080387070913E-3</v>
      </c>
      <c r="ED75" s="6">
        <f t="shared" si="90"/>
        <v>5.2845814493338653E-2</v>
      </c>
      <c r="EE75" s="6">
        <v>294.95</v>
      </c>
    </row>
    <row r="76" spans="1:135" x14ac:dyDescent="0.3">
      <c r="A76" s="6"/>
      <c r="B76" s="7"/>
      <c r="C76" s="8"/>
      <c r="D76" s="9"/>
      <c r="E76" s="6"/>
      <c r="F76" s="6"/>
      <c r="AG76" s="6">
        <f t="shared" si="70"/>
        <v>4</v>
      </c>
      <c r="AH76" s="16">
        <v>240</v>
      </c>
      <c r="AI76" s="9">
        <v>6.5816666666666661</v>
      </c>
      <c r="AJ76" s="9">
        <f t="shared" si="63"/>
        <v>0.10969444444444444</v>
      </c>
      <c r="AK76" s="6">
        <f t="shared" si="64"/>
        <v>45.581159787287923</v>
      </c>
      <c r="AL76" s="6">
        <f t="shared" si="65"/>
        <v>2.0689330204629544</v>
      </c>
      <c r="AM76" s="6">
        <f t="shared" si="66"/>
        <v>1.8980295925718699E-3</v>
      </c>
      <c r="AN76" s="6">
        <f t="shared" si="67"/>
        <v>2.0775316982832507E-3</v>
      </c>
      <c r="AO76" s="6">
        <f t="shared" si="68"/>
        <v>2.0710984851895793</v>
      </c>
      <c r="AP76" s="6">
        <v>288.84999999999997</v>
      </c>
      <c r="BI76" s="6">
        <f t="shared" si="71"/>
        <v>4</v>
      </c>
      <c r="BJ76" s="16">
        <v>240</v>
      </c>
      <c r="BK76" s="9">
        <v>6.19</v>
      </c>
      <c r="BL76" s="9">
        <f t="shared" si="72"/>
        <v>0.10316666666666667</v>
      </c>
      <c r="BM76" s="6">
        <f t="shared" si="73"/>
        <v>48.465266558966071</v>
      </c>
      <c r="BN76" s="6">
        <f t="shared" si="74"/>
        <v>0.97219152618028226</v>
      </c>
      <c r="BO76" s="6">
        <f t="shared" si="75"/>
        <v>1.9233273735493855E-3</v>
      </c>
      <c r="BP76" s="9">
        <f t="shared" si="76"/>
        <v>2.003713286216667E-3</v>
      </c>
      <c r="BQ76" s="6">
        <f t="shared" si="77"/>
        <v>0.92749408869599015</v>
      </c>
      <c r="BR76" s="6">
        <v>299.45</v>
      </c>
      <c r="CJ76" s="6">
        <f t="shared" si="78"/>
        <v>4</v>
      </c>
      <c r="CK76" s="16">
        <v>240</v>
      </c>
      <c r="CL76" s="9">
        <v>11.913333333333334</v>
      </c>
      <c r="CM76" s="9">
        <f t="shared" si="79"/>
        <v>0.19855555555555557</v>
      </c>
      <c r="CN76" s="6">
        <f t="shared" si="80"/>
        <v>50.363738108561833</v>
      </c>
      <c r="CO76" s="6">
        <f>($BJ$28-CN76)*(10^-3)/60*273.15*1000/(22.4*$BI$35*$BI$36)</f>
        <v>6.1023262627746697E-2</v>
      </c>
      <c r="CP76" s="6">
        <f t="shared" si="81"/>
        <v>2.0046926857752935E-3</v>
      </c>
      <c r="CQ76" s="9">
        <f t="shared" si="82"/>
        <v>2.0097536210269E-3</v>
      </c>
      <c r="CR76" s="6">
        <f t="shared" si="83"/>
        <v>5.8393160858503539E-2</v>
      </c>
      <c r="CS76" s="6">
        <v>298.54999999999995</v>
      </c>
      <c r="DV76" s="6">
        <f t="shared" si="84"/>
        <v>4</v>
      </c>
      <c r="DW76" s="16">
        <v>240</v>
      </c>
      <c r="DX76" s="9">
        <v>11.885</v>
      </c>
      <c r="DY76" s="9">
        <f t="shared" si="85"/>
        <v>0.19808333333333333</v>
      </c>
      <c r="DZ76" s="6">
        <f t="shared" si="86"/>
        <v>50.483803113167859</v>
      </c>
      <c r="EA76" s="6">
        <f t="shared" si="87"/>
        <v>-3.0541534490451196E-2</v>
      </c>
      <c r="EB76" s="6">
        <f t="shared" si="88"/>
        <v>2.0397886095409557E-3</v>
      </c>
      <c r="EC76" s="9">
        <f t="shared" si="89"/>
        <v>2.0400746948999382E-3</v>
      </c>
      <c r="ED76" s="6">
        <f t="shared" si="90"/>
        <v>3.3008579552603967E-3</v>
      </c>
      <c r="EE76" s="6">
        <v>295.75</v>
      </c>
    </row>
    <row r="77" spans="1:135" x14ac:dyDescent="0.3">
      <c r="A77" s="6"/>
      <c r="B77" s="6"/>
      <c r="C77" s="8"/>
      <c r="D77" s="9"/>
      <c r="E77" s="6"/>
      <c r="F77" s="6"/>
      <c r="AG77" s="6">
        <f t="shared" si="70"/>
        <v>6</v>
      </c>
      <c r="AH77" s="7">
        <v>360</v>
      </c>
      <c r="AI77" s="9">
        <v>6.5340000000000007</v>
      </c>
      <c r="AJ77" s="9">
        <f t="shared" si="63"/>
        <v>0.10890000000000001</v>
      </c>
      <c r="AK77" s="6">
        <f t="shared" si="64"/>
        <v>45.913682277318635</v>
      </c>
      <c r="AL77" s="6">
        <f t="shared" si="65"/>
        <v>1.9093394042731506</v>
      </c>
      <c r="AM77" s="6">
        <f t="shared" si="66"/>
        <v>1.9158556692039797E-3</v>
      </c>
      <c r="AN77" s="6">
        <f t="shared" si="67"/>
        <v>2.0818561354696164E-3</v>
      </c>
      <c r="AO77" s="6">
        <f t="shared" si="68"/>
        <v>1.9153163293600632</v>
      </c>
      <c r="AP77" s="6">
        <v>288.25</v>
      </c>
      <c r="AQ77" s="29"/>
      <c r="BI77" s="6">
        <f t="shared" si="71"/>
        <v>6</v>
      </c>
      <c r="BJ77" s="7">
        <v>360</v>
      </c>
      <c r="BK77" s="9">
        <v>6.08</v>
      </c>
      <c r="BL77" s="9">
        <f t="shared" si="72"/>
        <v>0.10133333333333333</v>
      </c>
      <c r="BM77" s="6">
        <f t="shared" si="73"/>
        <v>49.342105263157897</v>
      </c>
      <c r="BN77" s="6">
        <f t="shared" si="74"/>
        <v>0.5513542480634519</v>
      </c>
      <c r="BO77" s="6">
        <f t="shared" si="75"/>
        <v>1.9600881030452291E-3</v>
      </c>
      <c r="BP77" s="9">
        <f t="shared" si="76"/>
        <v>2.0057226928215975E-3</v>
      </c>
      <c r="BQ77" s="6">
        <f t="shared" si="77"/>
        <v>0.52653270770010951</v>
      </c>
      <c r="BR77" s="6">
        <v>299.14999999999998</v>
      </c>
      <c r="CJ77" s="6"/>
      <c r="CK77" s="7"/>
      <c r="CL77" s="9"/>
      <c r="CM77" s="9"/>
      <c r="CN77" s="6"/>
      <c r="CO77" s="6"/>
      <c r="CP77" s="6"/>
      <c r="CQ77" s="9"/>
      <c r="CR77" s="6"/>
      <c r="CS77" s="6"/>
    </row>
    <row r="78" spans="1:135" x14ac:dyDescent="0.3">
      <c r="A78" s="6"/>
      <c r="B78" s="6"/>
      <c r="C78" s="6"/>
      <c r="D78" s="9"/>
      <c r="E78" s="6"/>
      <c r="F78" s="6"/>
      <c r="AG78" s="6">
        <f t="shared" si="70"/>
        <v>18</v>
      </c>
      <c r="AH78" s="7">
        <v>1080</v>
      </c>
      <c r="AI78" s="8">
        <v>6.2619999999999996</v>
      </c>
      <c r="AJ78" s="9">
        <f t="shared" si="63"/>
        <v>0.10436666666666666</v>
      </c>
      <c r="AK78" s="6">
        <f t="shared" si="64"/>
        <v>47.908016608112426</v>
      </c>
      <c r="AL78" s="6">
        <f t="shared" si="65"/>
        <v>0.95216195828007499</v>
      </c>
      <c r="AM78" s="6">
        <f t="shared" si="66"/>
        <v>2.0018518672799755E-3</v>
      </c>
      <c r="AN78" s="6">
        <f t="shared" si="67"/>
        <v>2.0847491090815245E-3</v>
      </c>
      <c r="AO78" s="6">
        <f t="shared" si="68"/>
        <v>0.95646984886983988</v>
      </c>
      <c r="AP78" s="6">
        <v>287.85000000000002</v>
      </c>
      <c r="BI78" s="6">
        <f t="shared" si="71"/>
        <v>18</v>
      </c>
      <c r="BJ78" s="7">
        <v>1080</v>
      </c>
      <c r="BK78" s="8">
        <v>6.0540000000000003</v>
      </c>
      <c r="BL78" s="9">
        <f t="shared" si="72"/>
        <v>0.1009</v>
      </c>
      <c r="BM78" s="6">
        <f t="shared" si="73"/>
        <v>49.554013875123886</v>
      </c>
      <c r="BN78" s="6">
        <f t="shared" si="74"/>
        <v>0.44964906210056987</v>
      </c>
      <c r="BO78" s="6">
        <f t="shared" si="75"/>
        <v>1.9931581886102642E-3</v>
      </c>
      <c r="BP78" s="9">
        <f t="shared" si="76"/>
        <v>2.0308408988241023E-3</v>
      </c>
      <c r="BQ78" s="6">
        <f t="shared" si="77"/>
        <v>0.43478378001428497</v>
      </c>
      <c r="BR78" s="6">
        <v>295.45</v>
      </c>
      <c r="CJ78" s="6"/>
      <c r="CK78" s="7"/>
      <c r="CL78" s="8"/>
      <c r="CM78" s="9"/>
      <c r="CN78" s="6"/>
      <c r="CO78" s="6"/>
      <c r="CP78" s="6"/>
      <c r="CQ78" s="9"/>
      <c r="CR78" s="6"/>
      <c r="CS78" s="6"/>
    </row>
    <row r="79" spans="1:135" x14ac:dyDescent="0.3">
      <c r="AG79" s="6">
        <f t="shared" si="70"/>
        <v>22</v>
      </c>
      <c r="AH79" s="7">
        <v>1320</v>
      </c>
      <c r="AI79" s="8">
        <v>6.1479999999999988</v>
      </c>
      <c r="AJ79" s="9">
        <f t="shared" si="63"/>
        <v>0.10246666666666665</v>
      </c>
      <c r="AK79" s="6">
        <f t="shared" si="64"/>
        <v>48.796356538711784</v>
      </c>
      <c r="AL79" s="6">
        <f t="shared" si="65"/>
        <v>0.52580468567256777</v>
      </c>
      <c r="AM79" s="6">
        <f t="shared" si="66"/>
        <v>2.0103371401186338E-3</v>
      </c>
      <c r="AN79" s="6">
        <f t="shared" si="67"/>
        <v>2.0554719337185028E-3</v>
      </c>
      <c r="AO79" s="6">
        <f t="shared" si="68"/>
        <v>0.52076605053500669</v>
      </c>
      <c r="AP79" s="6">
        <v>291.95</v>
      </c>
      <c r="BI79" s="6">
        <f t="shared" si="71"/>
        <v>22</v>
      </c>
      <c r="BJ79" s="7">
        <v>1320</v>
      </c>
      <c r="BK79" s="8">
        <v>5.9559999999999995</v>
      </c>
      <c r="BL79" s="9">
        <f t="shared" si="72"/>
        <v>9.9266666666666656E-2</v>
      </c>
      <c r="BM79" s="6">
        <f t="shared" si="73"/>
        <v>50.369375419744799</v>
      </c>
      <c r="BN79" s="6">
        <f t="shared" si="74"/>
        <v>5.8317644498898834E-2</v>
      </c>
      <c r="BO79" s="6">
        <f t="shared" si="75"/>
        <v>2.0184386873026605E-3</v>
      </c>
      <c r="BP79" s="9">
        <f t="shared" si="76"/>
        <v>2.0233078521584252E-3</v>
      </c>
      <c r="BQ79" s="6">
        <f t="shared" si="77"/>
        <v>5.6180510623799279E-2</v>
      </c>
      <c r="BR79" s="6">
        <v>296.54999999999995</v>
      </c>
      <c r="CJ79" s="6"/>
      <c r="CK79" s="7"/>
      <c r="CL79" s="8"/>
      <c r="CM79" s="9"/>
      <c r="CN79" s="6"/>
      <c r="CO79" s="6"/>
      <c r="CP79" s="6"/>
      <c r="CQ79" s="9"/>
      <c r="CR79" s="6"/>
      <c r="CS79" s="6"/>
    </row>
    <row r="80" spans="1:135" x14ac:dyDescent="0.3">
      <c r="AG80" s="6">
        <f t="shared" si="70"/>
        <v>26</v>
      </c>
      <c r="AH80" s="6">
        <v>1560</v>
      </c>
      <c r="AI80" s="8">
        <v>6.1660000000000004</v>
      </c>
      <c r="AJ80" s="9">
        <f t="shared" si="63"/>
        <v>0.10276666666666667</v>
      </c>
      <c r="AK80" s="6">
        <f t="shared" si="64"/>
        <v>48.653908530651961</v>
      </c>
      <c r="AL80" s="6">
        <f t="shared" si="65"/>
        <v>0.59417237028602599</v>
      </c>
      <c r="AM80" s="6">
        <f t="shared" si="66"/>
        <v>2.0085964543896761E-3</v>
      </c>
      <c r="AN80" s="6">
        <f t="shared" si="67"/>
        <v>2.059704928948402E-3</v>
      </c>
      <c r="AO80" s="6">
        <f t="shared" si="68"/>
        <v>0.58969048758192999</v>
      </c>
      <c r="AP80" s="6">
        <v>291.34999999999997</v>
      </c>
      <c r="BI80" s="6">
        <f t="shared" si="71"/>
        <v>26</v>
      </c>
      <c r="BJ80" s="6">
        <v>1560</v>
      </c>
      <c r="BK80" s="8">
        <v>5.9520000000000008</v>
      </c>
      <c r="BL80" s="9">
        <f t="shared" si="72"/>
        <v>9.920000000000001E-2</v>
      </c>
      <c r="BM80" s="6">
        <f t="shared" si="73"/>
        <v>50.403225806451609</v>
      </c>
      <c r="BN80" s="6">
        <f t="shared" si="74"/>
        <v>4.2071207683560104E-2</v>
      </c>
      <c r="BO80" s="6">
        <f t="shared" si="75"/>
        <v>2.0184338876346121E-3</v>
      </c>
      <c r="BP80" s="9">
        <f t="shared" si="76"/>
        <v>2.0219442074391942E-3</v>
      </c>
      <c r="BQ80" s="6">
        <f t="shared" si="77"/>
        <v>4.05021322785519E-2</v>
      </c>
      <c r="BR80" s="6">
        <v>296.75</v>
      </c>
      <c r="CJ80" s="6"/>
      <c r="CK80" s="6"/>
      <c r="CL80" s="8"/>
      <c r="CM80" s="9"/>
      <c r="CN80" s="6"/>
      <c r="CO80" s="6"/>
      <c r="CP80" s="6"/>
      <c r="CQ80" s="9"/>
      <c r="CR80" s="6"/>
      <c r="CS80" s="6"/>
    </row>
    <row r="81" spans="33:97" x14ac:dyDescent="0.3">
      <c r="AG81" s="6">
        <f t="shared" si="70"/>
        <v>30</v>
      </c>
      <c r="AH81" s="6">
        <v>1800</v>
      </c>
      <c r="AI81" s="8">
        <v>6.1933333333333325</v>
      </c>
      <c r="AJ81" s="9">
        <f t="shared" si="63"/>
        <v>0.1032222222222222</v>
      </c>
      <c r="AK81" s="6">
        <f t="shared" si="64"/>
        <v>48.439181916038763</v>
      </c>
      <c r="AL81" s="6">
        <f t="shared" si="65"/>
        <v>0.69723005193381382</v>
      </c>
      <c r="AM81" s="6">
        <f t="shared" si="66"/>
        <v>2.0038585235457873E-3</v>
      </c>
      <c r="AN81" s="6">
        <f t="shared" si="67"/>
        <v>2.0639553948378912E-3</v>
      </c>
      <c r="AO81" s="6">
        <f t="shared" si="68"/>
        <v>0.69339876880239915</v>
      </c>
      <c r="AP81" s="6">
        <v>290.75</v>
      </c>
      <c r="BI81" s="6"/>
      <c r="BJ81" s="6"/>
      <c r="BK81" s="8"/>
      <c r="BL81" s="9"/>
      <c r="BM81" s="6"/>
      <c r="BN81" s="6"/>
      <c r="BO81" s="6"/>
      <c r="BP81" s="9"/>
      <c r="BQ81" s="6"/>
      <c r="BR81" s="6"/>
      <c r="CJ81" s="6"/>
      <c r="CK81" s="6"/>
      <c r="CL81" s="8"/>
      <c r="CM81" s="9"/>
      <c r="CN81" s="6"/>
      <c r="CO81" s="6"/>
      <c r="CP81" s="6"/>
      <c r="CQ81" s="9"/>
      <c r="CR81" s="6"/>
      <c r="CS81" s="6"/>
    </row>
    <row r="82" spans="33:97" x14ac:dyDescent="0.3">
      <c r="AG82" s="6">
        <f t="shared" si="70"/>
        <v>42</v>
      </c>
      <c r="AH82" s="7">
        <v>2520</v>
      </c>
      <c r="AI82" s="8">
        <v>6.1480000000000006</v>
      </c>
      <c r="AJ82" s="9">
        <f t="shared" si="63"/>
        <v>0.10246666666666668</v>
      </c>
      <c r="AK82" s="6">
        <f t="shared" si="64"/>
        <v>48.79635653871177</v>
      </c>
      <c r="AL82" s="6">
        <f t="shared" si="65"/>
        <v>0.52580468567257466</v>
      </c>
      <c r="AM82" s="6">
        <f t="shared" si="66"/>
        <v>2.0284013411357698E-3</v>
      </c>
      <c r="AN82" s="6">
        <f t="shared" si="67"/>
        <v>2.0739417005326316E-3</v>
      </c>
      <c r="AO82" s="6">
        <f t="shared" si="68"/>
        <v>0.52544547590702462</v>
      </c>
      <c r="AP82" s="6">
        <v>289.34999999999997</v>
      </c>
      <c r="BI82" s="6"/>
      <c r="BJ82" s="7"/>
      <c r="BK82" s="8"/>
      <c r="BL82" s="9"/>
      <c r="BM82" s="6"/>
      <c r="BN82" s="6"/>
      <c r="BO82" s="6"/>
      <c r="BP82" s="9"/>
      <c r="BQ82" s="6"/>
      <c r="BR82" s="6"/>
      <c r="CJ82" s="6"/>
      <c r="CK82" s="7"/>
      <c r="CL82" s="8"/>
      <c r="CM82" s="9"/>
      <c r="CN82" s="6"/>
      <c r="CO82" s="6"/>
      <c r="CP82" s="6"/>
      <c r="CQ82" s="9"/>
      <c r="CR82" s="6"/>
      <c r="CS82" s="6"/>
    </row>
    <row r="83" spans="33:97" x14ac:dyDescent="0.3">
      <c r="AG83" s="6">
        <f t="shared" si="70"/>
        <v>46</v>
      </c>
      <c r="AH83" s="53">
        <v>2760</v>
      </c>
      <c r="AI83" s="54">
        <v>6.129999999999999</v>
      </c>
      <c r="AJ83" s="55">
        <f t="shared" si="63"/>
        <v>0.10216666666666666</v>
      </c>
      <c r="AK83" s="27">
        <f t="shared" si="64"/>
        <v>48.939641109298535</v>
      </c>
      <c r="AL83" s="27">
        <f t="shared" si="65"/>
        <v>0.45703549426530138</v>
      </c>
      <c r="AM83" s="6">
        <f t="shared" si="66"/>
        <v>2.0134815844816841E-3</v>
      </c>
      <c r="AN83" s="6">
        <f t="shared" si="67"/>
        <v>2.0526595897011014E-3</v>
      </c>
      <c r="AO83" s="6">
        <f t="shared" si="68"/>
        <v>0.45203652035787822</v>
      </c>
      <c r="AP83" s="6">
        <v>292.34999999999997</v>
      </c>
      <c r="BI83" s="6"/>
      <c r="BJ83" s="53"/>
      <c r="BK83" s="54"/>
      <c r="BL83" s="55"/>
      <c r="BM83" s="27"/>
      <c r="BN83" s="6"/>
      <c r="BO83" s="6"/>
      <c r="BP83" s="9"/>
      <c r="BQ83" s="6"/>
      <c r="BR83" s="6"/>
      <c r="CJ83" s="6"/>
      <c r="CK83" s="53"/>
      <c r="CL83" s="54"/>
      <c r="CM83" s="55"/>
      <c r="CN83" s="27"/>
      <c r="CO83" s="6"/>
      <c r="CP83" s="6"/>
      <c r="CQ83" s="9"/>
      <c r="CR83" s="6"/>
      <c r="CS83" s="6"/>
    </row>
    <row r="84" spans="33:97" x14ac:dyDescent="0.3">
      <c r="AG84" s="6">
        <f t="shared" si="70"/>
        <v>50</v>
      </c>
      <c r="AH84" s="6">
        <v>3000</v>
      </c>
      <c r="AI84" s="6">
        <v>6.0785714285714283</v>
      </c>
      <c r="AJ84" s="55">
        <f t="shared" si="63"/>
        <v>0.10130952380952381</v>
      </c>
      <c r="AK84" s="27">
        <f t="shared" si="64"/>
        <v>49.353701527614575</v>
      </c>
      <c r="AL84" s="27">
        <f t="shared" si="65"/>
        <v>0.25830788497181667</v>
      </c>
      <c r="AM84" s="6">
        <f t="shared" si="66"/>
        <v>2.0339956158674454E-3</v>
      </c>
      <c r="AN84" s="6">
        <f t="shared" si="67"/>
        <v>2.0561762242560116E-3</v>
      </c>
      <c r="AO84" s="6">
        <f>(AN84-AM84)*10^(3)/60/$AF$35</f>
        <v>0.25592025370446753</v>
      </c>
      <c r="AP84" s="6">
        <v>291.84999999999997</v>
      </c>
      <c r="BI84" s="6"/>
      <c r="BJ84" s="6"/>
      <c r="BK84" s="6"/>
      <c r="BL84" s="55"/>
      <c r="BM84" s="27"/>
      <c r="BN84" s="6"/>
      <c r="BO84" s="6"/>
      <c r="BP84" s="9"/>
      <c r="BQ84" s="6"/>
      <c r="BR84" s="6"/>
      <c r="CJ84" s="6"/>
      <c r="CK84" s="6"/>
      <c r="CL84" s="6"/>
      <c r="CM84" s="55"/>
      <c r="CN84" s="27"/>
      <c r="CO84" s="6"/>
      <c r="CP84" s="6"/>
      <c r="CQ84" s="9"/>
      <c r="CR84" s="6"/>
      <c r="CS84" s="6"/>
    </row>
    <row r="85" spans="33:97" x14ac:dyDescent="0.3">
      <c r="AG85" s="6">
        <f t="shared" si="70"/>
        <v>54</v>
      </c>
      <c r="AH85" s="6">
        <v>3240</v>
      </c>
      <c r="AI85" s="6">
        <v>6.032857142857142</v>
      </c>
      <c r="AJ85" s="55">
        <f t="shared" si="63"/>
        <v>0.10054761904761904</v>
      </c>
      <c r="AK85" s="27">
        <f t="shared" si="64"/>
        <v>49.72768174283685</v>
      </c>
      <c r="AL85" s="27">
        <f t="shared" si="65"/>
        <v>7.8816702509987721E-2</v>
      </c>
      <c r="AM85" s="6">
        <f t="shared" si="66"/>
        <v>2.0487063500389657E-3</v>
      </c>
      <c r="AN85" s="6">
        <f t="shared" si="67"/>
        <v>2.0554719337185028E-3</v>
      </c>
      <c r="AO85" s="6">
        <f>(AN85-AM85)*10^(3)/60/$AF$35</f>
        <v>7.8061424709093691E-2</v>
      </c>
      <c r="AP85" s="6">
        <v>291.95</v>
      </c>
      <c r="BI85" s="6"/>
      <c r="BJ85" s="6"/>
      <c r="BK85" s="6"/>
      <c r="BL85" s="55"/>
      <c r="BM85" s="27"/>
      <c r="BN85" s="6"/>
      <c r="BO85" s="6"/>
      <c r="BP85" s="9"/>
      <c r="BQ85" s="6"/>
      <c r="BR85" s="6"/>
      <c r="CJ85" s="6"/>
      <c r="CK85" s="6"/>
      <c r="CL85" s="6"/>
      <c r="CM85" s="55"/>
      <c r="CN85" s="27"/>
      <c r="CO85" s="6"/>
      <c r="CP85" s="6"/>
      <c r="CQ85" s="9"/>
      <c r="CR85" s="6"/>
      <c r="CS85" s="6"/>
    </row>
    <row r="86" spans="33:97" x14ac:dyDescent="0.3">
      <c r="AG86" s="6">
        <f t="shared" si="70"/>
        <v>65</v>
      </c>
      <c r="AH86" s="6">
        <v>3900</v>
      </c>
      <c r="AI86" s="6">
        <v>6.0459999999999994</v>
      </c>
      <c r="AJ86" s="9">
        <f t="shared" si="63"/>
        <v>0.10076666666666666</v>
      </c>
      <c r="AK86" s="6">
        <f t="shared" si="64"/>
        <v>49.619583195501164</v>
      </c>
      <c r="AL86" s="6">
        <f t="shared" si="65"/>
        <v>0.13069842056332451</v>
      </c>
      <c r="AM86" s="6">
        <f t="shared" si="66"/>
        <v>2.078424585979797E-3</v>
      </c>
      <c r="AN86" s="6">
        <f t="shared" si="67"/>
        <v>2.0898312068574508E-3</v>
      </c>
      <c r="AO86" s="6">
        <f>(AN86-AM86)*10^(3)/60/$AF$35</f>
        <v>0.13160979436545295</v>
      </c>
      <c r="AP86" s="6">
        <v>287.14999999999998</v>
      </c>
      <c r="BI86" s="6"/>
      <c r="BJ86" s="6"/>
      <c r="BK86" s="6"/>
      <c r="BL86" s="9"/>
      <c r="BM86" s="6"/>
      <c r="BN86" s="6"/>
      <c r="BO86" s="6"/>
      <c r="BP86" s="9"/>
      <c r="BQ86" s="6"/>
      <c r="BR86" s="6"/>
      <c r="CJ86" s="6"/>
      <c r="CK86" s="6"/>
      <c r="CL86" s="6"/>
      <c r="CM86" s="9"/>
      <c r="CN86" s="6"/>
      <c r="CO86" s="6"/>
      <c r="CP86" s="6"/>
      <c r="CQ86" s="9"/>
      <c r="CR86" s="6"/>
      <c r="CS86" s="6"/>
    </row>
    <row r="93" spans="33:97" x14ac:dyDescent="0.3">
      <c r="AH93" s="81" t="s">
        <v>69</v>
      </c>
    </row>
    <row r="94" spans="33:97" x14ac:dyDescent="0.3">
      <c r="AH94" t="s">
        <v>238</v>
      </c>
    </row>
    <row r="95" spans="33:97" x14ac:dyDescent="0.3">
      <c r="AH95" s="43"/>
      <c r="AI95" s="43"/>
      <c r="AJ95" s="43"/>
      <c r="AK95" s="43" t="s">
        <v>55</v>
      </c>
      <c r="AL95" s="43"/>
      <c r="AM95" s="43"/>
      <c r="AN95" s="43"/>
      <c r="AO95" s="80" t="s">
        <v>53</v>
      </c>
      <c r="AP95" s="25" t="s">
        <v>240</v>
      </c>
    </row>
    <row r="96" spans="33:97" x14ac:dyDescent="0.3">
      <c r="AH96" s="49">
        <f>AI120*(10^-3)*$B$35*AN120/(A103)</f>
        <v>101321.54076692789</v>
      </c>
      <c r="AI96" s="49"/>
      <c r="AJ96" s="49">
        <v>1.6666666666666666E-2</v>
      </c>
      <c r="AK96" s="49">
        <v>1</v>
      </c>
      <c r="AL96" s="49"/>
      <c r="AM96" s="49"/>
      <c r="AN96" s="49"/>
      <c r="AO96" s="49">
        <f>AH96/2.32</f>
        <v>43673.077916779264</v>
      </c>
      <c r="AP96" s="49">
        <f>AO96/100000</f>
        <v>0.43673077916779263</v>
      </c>
    </row>
    <row r="97" spans="1:42" x14ac:dyDescent="0.3">
      <c r="AH97" s="49">
        <f>(AI121*(10^-3)*$B$35*AN121/($A$103))+AH96</f>
        <v>989036.98377594317</v>
      </c>
      <c r="AI97" s="49"/>
      <c r="AJ97" s="49">
        <v>0.16666666666666666</v>
      </c>
      <c r="AK97" s="49">
        <v>10</v>
      </c>
      <c r="AL97" s="49"/>
      <c r="AM97" s="49"/>
      <c r="AN97" s="49"/>
      <c r="AO97" s="49">
        <f t="shared" ref="AO97:AO112" si="91">AH97/2.32</f>
        <v>426309.04473101004</v>
      </c>
      <c r="AP97" s="49">
        <f t="shared" ref="AP97:AP103" si="92">AO97/100000</f>
        <v>4.2630904473101001</v>
      </c>
    </row>
    <row r="98" spans="1:42" x14ac:dyDescent="0.3">
      <c r="AH98" s="49">
        <f t="shared" ref="AH98:AH112" si="93">(AI122*(10^-3)*$B$35*AN122/($A$103))+AH97</f>
        <v>2554927.1776831667</v>
      </c>
      <c r="AI98" s="49"/>
      <c r="AJ98" s="49">
        <v>0.5</v>
      </c>
      <c r="AK98" s="49">
        <v>30</v>
      </c>
      <c r="AL98" s="49"/>
      <c r="AM98" s="49"/>
      <c r="AN98" s="49"/>
      <c r="AO98" s="49">
        <f t="shared" si="91"/>
        <v>1101261.7145186064</v>
      </c>
      <c r="AP98" s="49">
        <f t="shared" si="92"/>
        <v>11.012617145186065</v>
      </c>
    </row>
    <row r="99" spans="1:42" x14ac:dyDescent="0.3">
      <c r="AH99" s="49">
        <f t="shared" si="93"/>
        <v>4206727.1653523818</v>
      </c>
      <c r="AI99" s="49"/>
      <c r="AJ99" s="49">
        <v>1</v>
      </c>
      <c r="AK99" s="49">
        <v>60</v>
      </c>
      <c r="AL99" s="49"/>
      <c r="AM99" s="49"/>
      <c r="AN99" s="49"/>
      <c r="AO99" s="49">
        <f t="shared" si="91"/>
        <v>1813244.4678243026</v>
      </c>
      <c r="AP99" s="49">
        <f t="shared" si="92"/>
        <v>18.132444678243026</v>
      </c>
    </row>
    <row r="100" spans="1:42" x14ac:dyDescent="0.3">
      <c r="AH100" s="49">
        <f t="shared" si="93"/>
        <v>5475409.6058352273</v>
      </c>
      <c r="AI100" s="49"/>
      <c r="AJ100" s="49">
        <v>1.5</v>
      </c>
      <c r="AK100" s="49">
        <v>90</v>
      </c>
      <c r="AL100" s="49"/>
      <c r="AM100" s="49"/>
      <c r="AN100" s="49"/>
      <c r="AO100" s="49">
        <f t="shared" si="91"/>
        <v>2360090.3473427705</v>
      </c>
      <c r="AP100" s="49">
        <f t="shared" si="92"/>
        <v>23.600903473427707</v>
      </c>
    </row>
    <row r="101" spans="1:42" x14ac:dyDescent="0.3">
      <c r="AH101" s="49">
        <f t="shared" si="93"/>
        <v>6508951.0724765658</v>
      </c>
      <c r="AI101" s="49"/>
      <c r="AJ101" s="49">
        <v>2</v>
      </c>
      <c r="AK101" s="49">
        <v>120</v>
      </c>
      <c r="AL101" s="49"/>
      <c r="AM101" s="49"/>
      <c r="AN101" s="49"/>
      <c r="AO101" s="49">
        <f t="shared" si="91"/>
        <v>2805582.3588261059</v>
      </c>
      <c r="AP101" s="49">
        <f t="shared" si="92"/>
        <v>28.05582358826106</v>
      </c>
    </row>
    <row r="102" spans="1:42" x14ac:dyDescent="0.3">
      <c r="A102" s="6" t="s">
        <v>237</v>
      </c>
      <c r="B102" s="82" t="s">
        <v>147</v>
      </c>
      <c r="C102" s="80" t="s">
        <v>238</v>
      </c>
      <c r="D102" s="43"/>
      <c r="E102" s="43"/>
      <c r="F102" s="43"/>
      <c r="G102" s="43" t="s">
        <v>55</v>
      </c>
      <c r="H102" s="43"/>
      <c r="I102" s="43"/>
      <c r="J102" s="80" t="s">
        <v>53</v>
      </c>
      <c r="K102" t="s">
        <v>240</v>
      </c>
      <c r="AH102" s="49">
        <f t="shared" si="93"/>
        <v>8580129.2153001912</v>
      </c>
      <c r="AI102" s="49"/>
      <c r="AJ102" s="49">
        <v>4</v>
      </c>
      <c r="AK102" s="49">
        <v>240</v>
      </c>
      <c r="AL102" s="49"/>
      <c r="AM102" s="49"/>
      <c r="AN102" s="49"/>
      <c r="AO102" s="49">
        <f t="shared" si="91"/>
        <v>3698331.558319048</v>
      </c>
      <c r="AP102" s="49">
        <f t="shared" si="92"/>
        <v>36.983315583190482</v>
      </c>
    </row>
    <row r="103" spans="1:42" x14ac:dyDescent="0.3">
      <c r="A103" s="7">
        <f>1.04*10^-8</f>
        <v>1.04E-8</v>
      </c>
      <c r="B103" s="6" t="s">
        <v>113</v>
      </c>
      <c r="C103" s="49">
        <f>D120*(10^-3)*$B$35*I120/A103</f>
        <v>151362.80032805662</v>
      </c>
      <c r="D103" s="49"/>
      <c r="E103" s="49"/>
      <c r="F103" s="49">
        <v>1.6666666666666666E-2</v>
      </c>
      <c r="G103" s="49">
        <v>1</v>
      </c>
      <c r="H103" s="49"/>
      <c r="I103" s="49"/>
      <c r="J103" s="49">
        <f>C103/2.32</f>
        <v>65242.586348300269</v>
      </c>
      <c r="K103">
        <f>J103/100000</f>
        <v>0.65242586348300269</v>
      </c>
      <c r="AH103" s="49">
        <f t="shared" si="93"/>
        <v>10495519.210672922</v>
      </c>
      <c r="AI103" s="49"/>
      <c r="AJ103" s="49">
        <v>6</v>
      </c>
      <c r="AK103" s="49">
        <v>360</v>
      </c>
      <c r="AL103" s="49"/>
      <c r="AM103" s="49"/>
      <c r="AN103" s="49"/>
      <c r="AO103" s="49">
        <f t="shared" si="91"/>
        <v>4523930.6942555699</v>
      </c>
      <c r="AP103" s="49">
        <f t="shared" si="92"/>
        <v>45.2393069425557</v>
      </c>
    </row>
    <row r="104" spans="1:42" x14ac:dyDescent="0.3">
      <c r="A104" s="7"/>
      <c r="B104" s="6"/>
      <c r="C104" s="49">
        <f t="shared" ref="C104:C109" si="94">(D121*(10^-3)*$B$35*I121/($A$103))+C103</f>
        <v>1242441.110452106</v>
      </c>
      <c r="D104" s="49"/>
      <c r="E104" s="49"/>
      <c r="F104" s="49">
        <v>0.16666666666666666</v>
      </c>
      <c r="G104" s="49">
        <v>10</v>
      </c>
      <c r="H104" s="49"/>
      <c r="I104" s="49"/>
      <c r="J104" s="49">
        <f t="shared" ref="J104:J109" si="95">C104/2.32</f>
        <v>535534.96140176989</v>
      </c>
      <c r="K104">
        <f t="shared" ref="K104:K109" si="96">J104/100000</f>
        <v>5.3553496140176993</v>
      </c>
      <c r="AH104" s="49">
        <f t="shared" si="93"/>
        <v>16234559.027703241</v>
      </c>
      <c r="AI104" s="49"/>
      <c r="AJ104" s="49">
        <v>18</v>
      </c>
      <c r="AK104" s="49">
        <v>1080</v>
      </c>
      <c r="AL104" s="49"/>
      <c r="AM104" s="49"/>
      <c r="AN104" s="49"/>
      <c r="AO104" s="49">
        <f t="shared" si="91"/>
        <v>6997654.7533203624</v>
      </c>
      <c r="AP104" s="49">
        <f t="shared" ref="AP104:AP112" si="97">AO104/100000</f>
        <v>69.976547533203629</v>
      </c>
    </row>
    <row r="105" spans="1:42" x14ac:dyDescent="0.3">
      <c r="A105" s="7"/>
      <c r="B105" s="6"/>
      <c r="C105" s="49">
        <f t="shared" si="94"/>
        <v>3357418.7496525152</v>
      </c>
      <c r="D105" s="49"/>
      <c r="E105" s="49"/>
      <c r="F105" s="49">
        <v>0.5</v>
      </c>
      <c r="G105" s="49">
        <v>30</v>
      </c>
      <c r="H105" s="49"/>
      <c r="I105" s="49"/>
      <c r="J105" s="49">
        <f t="shared" si="95"/>
        <v>1447163.254160567</v>
      </c>
      <c r="K105">
        <f t="shared" si="96"/>
        <v>14.47163254160567</v>
      </c>
      <c r="AH105" s="49">
        <f t="shared" si="93"/>
        <v>17276131.187700219</v>
      </c>
      <c r="AI105" s="49"/>
      <c r="AJ105" s="49">
        <v>22</v>
      </c>
      <c r="AK105" s="49">
        <v>1320</v>
      </c>
      <c r="AL105" s="49"/>
      <c r="AM105" s="49"/>
      <c r="AN105" s="49"/>
      <c r="AO105" s="49">
        <f t="shared" si="91"/>
        <v>7446608.2705604397</v>
      </c>
      <c r="AP105" s="49">
        <f t="shared" si="97"/>
        <v>74.466082705604393</v>
      </c>
    </row>
    <row r="106" spans="1:42" x14ac:dyDescent="0.3">
      <c r="A106" s="7"/>
      <c r="B106" s="6"/>
      <c r="C106" s="49">
        <f t="shared" si="94"/>
        <v>5548448.7770761792</v>
      </c>
      <c r="D106" s="49"/>
      <c r="E106" s="49"/>
      <c r="F106" s="49">
        <v>1</v>
      </c>
      <c r="G106" s="49">
        <v>60</v>
      </c>
      <c r="H106" s="49"/>
      <c r="I106" s="49"/>
      <c r="J106" s="49">
        <f t="shared" si="95"/>
        <v>2391572.7487397324</v>
      </c>
      <c r="K106">
        <f t="shared" si="96"/>
        <v>23.915727487397323</v>
      </c>
      <c r="AH106" s="49">
        <f t="shared" si="93"/>
        <v>18455557.523670815</v>
      </c>
      <c r="AI106" s="49"/>
      <c r="AJ106" s="49">
        <v>26</v>
      </c>
      <c r="AK106" s="49">
        <v>1560</v>
      </c>
      <c r="AL106" s="49"/>
      <c r="AM106" s="49"/>
      <c r="AN106" s="49"/>
      <c r="AO106" s="49">
        <f t="shared" si="91"/>
        <v>7954981.6912374208</v>
      </c>
      <c r="AP106" s="49">
        <f t="shared" si="97"/>
        <v>79.549816912374212</v>
      </c>
    </row>
    <row r="107" spans="1:42" x14ac:dyDescent="0.3">
      <c r="A107" s="7"/>
      <c r="B107" s="6"/>
      <c r="C107" s="49">
        <f t="shared" si="94"/>
        <v>7205428.5617930079</v>
      </c>
      <c r="D107" s="49"/>
      <c r="E107" s="49"/>
      <c r="F107" s="49">
        <v>1.5</v>
      </c>
      <c r="G107" s="49">
        <v>90</v>
      </c>
      <c r="H107" s="49"/>
      <c r="I107" s="49"/>
      <c r="J107" s="49">
        <f t="shared" si="95"/>
        <v>3105788.1731866417</v>
      </c>
      <c r="K107">
        <f t="shared" si="96"/>
        <v>31.057881731866416</v>
      </c>
      <c r="AH107" s="49">
        <f t="shared" si="93"/>
        <v>19842408.399642445</v>
      </c>
      <c r="AI107" s="49"/>
      <c r="AJ107" s="49">
        <v>30</v>
      </c>
      <c r="AK107" s="49">
        <v>1800</v>
      </c>
      <c r="AL107" s="49"/>
      <c r="AM107" s="49"/>
      <c r="AN107" s="49"/>
      <c r="AO107" s="49">
        <f t="shared" si="91"/>
        <v>8552762.2412251923</v>
      </c>
      <c r="AP107" s="49">
        <f t="shared" si="97"/>
        <v>85.52762241225193</v>
      </c>
    </row>
    <row r="108" spans="1:42" x14ac:dyDescent="0.3">
      <c r="A108" s="7"/>
      <c r="B108" s="6"/>
      <c r="C108" s="49">
        <f t="shared" si="94"/>
        <v>8456811.6443154421</v>
      </c>
      <c r="D108" s="49"/>
      <c r="E108" s="49"/>
      <c r="F108" s="49">
        <v>2</v>
      </c>
      <c r="G108" s="49">
        <v>120</v>
      </c>
      <c r="H108" s="49"/>
      <c r="I108" s="49"/>
      <c r="J108" s="49">
        <f t="shared" si="95"/>
        <v>3645177.4328945875</v>
      </c>
      <c r="K108">
        <f t="shared" si="96"/>
        <v>36.451774328945874</v>
      </c>
      <c r="AH108" s="49">
        <f t="shared" si="93"/>
        <v>22995202.51173288</v>
      </c>
      <c r="AI108" s="49"/>
      <c r="AJ108" s="49">
        <v>42</v>
      </c>
      <c r="AK108" s="49">
        <v>2520</v>
      </c>
      <c r="AL108" s="49"/>
      <c r="AM108" s="49"/>
      <c r="AN108" s="49"/>
      <c r="AO108" s="49">
        <f t="shared" si="91"/>
        <v>9911725.2205745187</v>
      </c>
      <c r="AP108" s="49">
        <f t="shared" si="97"/>
        <v>99.117252205745189</v>
      </c>
    </row>
    <row r="109" spans="1:42" x14ac:dyDescent="0.3">
      <c r="A109" s="7"/>
      <c r="B109" s="6"/>
      <c r="C109" s="49">
        <f t="shared" si="94"/>
        <v>12258246.839422453</v>
      </c>
      <c r="D109" s="49"/>
      <c r="E109" s="49"/>
      <c r="F109" s="49">
        <v>4</v>
      </c>
      <c r="G109" s="49">
        <v>240</v>
      </c>
      <c r="H109" s="49"/>
      <c r="I109" s="49"/>
      <c r="J109" s="49">
        <f t="shared" si="95"/>
        <v>5283727.0859579546</v>
      </c>
      <c r="K109">
        <f t="shared" si="96"/>
        <v>52.837270859579547</v>
      </c>
      <c r="AH109" s="49">
        <f t="shared" si="93"/>
        <v>23899310.324488662</v>
      </c>
      <c r="AI109" s="49"/>
      <c r="AJ109" s="49">
        <v>46</v>
      </c>
      <c r="AK109" s="49">
        <v>2760</v>
      </c>
      <c r="AL109" s="49"/>
      <c r="AM109" s="49"/>
      <c r="AN109" s="49"/>
      <c r="AO109" s="49">
        <f t="shared" si="91"/>
        <v>10301426.864003735</v>
      </c>
      <c r="AP109" s="49">
        <f t="shared" si="97"/>
        <v>103.01426864003734</v>
      </c>
    </row>
    <row r="110" spans="1:42" x14ac:dyDescent="0.3">
      <c r="A110" s="7"/>
      <c r="B110" s="6"/>
      <c r="C110" s="49"/>
      <c r="D110" s="49"/>
      <c r="E110" s="49"/>
      <c r="F110" s="49"/>
      <c r="G110" s="49"/>
      <c r="H110" s="49"/>
      <c r="I110" s="49"/>
      <c r="J110" s="49"/>
      <c r="AH110" s="49">
        <f t="shared" si="93"/>
        <v>24411170.518070959</v>
      </c>
      <c r="AI110" s="49"/>
      <c r="AJ110" s="49">
        <v>50</v>
      </c>
      <c r="AK110" s="49">
        <v>3000</v>
      </c>
      <c r="AL110" s="49"/>
      <c r="AM110" s="49"/>
      <c r="AN110" s="49"/>
      <c r="AO110" s="49">
        <f t="shared" si="91"/>
        <v>10522056.257789208</v>
      </c>
      <c r="AP110" s="49">
        <f t="shared" si="97"/>
        <v>105.22056257789208</v>
      </c>
    </row>
    <row r="111" spans="1:42" x14ac:dyDescent="0.3">
      <c r="A111" s="58"/>
      <c r="B111" s="31"/>
      <c r="AH111" s="49">
        <f t="shared" si="93"/>
        <v>24567299.372214124</v>
      </c>
      <c r="AI111" s="49"/>
      <c r="AJ111" s="49">
        <v>54</v>
      </c>
      <c r="AK111" s="49">
        <v>3240</v>
      </c>
      <c r="AL111" s="49"/>
      <c r="AM111" s="49"/>
      <c r="AN111" s="49"/>
      <c r="AO111" s="49">
        <f t="shared" si="91"/>
        <v>10589353.177678503</v>
      </c>
      <c r="AP111" s="49">
        <f t="shared" si="97"/>
        <v>105.89353177678503</v>
      </c>
    </row>
    <row r="112" spans="1:42" x14ac:dyDescent="0.3">
      <c r="A112" s="58"/>
      <c r="B112" s="31"/>
      <c r="AH112" s="49">
        <f t="shared" si="93"/>
        <v>25291181.081757538</v>
      </c>
      <c r="AI112" s="49"/>
      <c r="AJ112" s="49">
        <v>65</v>
      </c>
      <c r="AK112" s="49">
        <v>3900</v>
      </c>
      <c r="AL112" s="49"/>
      <c r="AM112" s="49"/>
      <c r="AN112" s="49"/>
      <c r="AO112" s="49">
        <f t="shared" si="91"/>
        <v>10901371.155929973</v>
      </c>
      <c r="AP112" s="49">
        <f t="shared" si="97"/>
        <v>109.01371155929974</v>
      </c>
    </row>
    <row r="113" spans="1:152" x14ac:dyDescent="0.3">
      <c r="A113" s="31"/>
      <c r="B113" s="31"/>
    </row>
    <row r="114" spans="1:152" x14ac:dyDescent="0.3">
      <c r="A114" s="31"/>
      <c r="B114" s="31"/>
    </row>
    <row r="117" spans="1:152" x14ac:dyDescent="0.3">
      <c r="C117" s="23">
        <v>42481</v>
      </c>
      <c r="D117" t="s">
        <v>65</v>
      </c>
      <c r="E117" s="23"/>
      <c r="AH117" s="23">
        <v>42486</v>
      </c>
      <c r="AI117" t="s">
        <v>65</v>
      </c>
      <c r="AJ117" s="23"/>
      <c r="BO117" s="17">
        <v>42499</v>
      </c>
      <c r="BP117" t="s">
        <v>65</v>
      </c>
      <c r="BQ117" s="23">
        <v>42500</v>
      </c>
      <c r="CR117" s="17">
        <v>42502</v>
      </c>
      <c r="CT117" s="23"/>
      <c r="DX117" s="17">
        <v>42503</v>
      </c>
      <c r="DZ117" s="23"/>
    </row>
    <row r="118" spans="1:152" x14ac:dyDescent="0.3">
      <c r="C118" s="12" t="s">
        <v>51</v>
      </c>
      <c r="D118" s="6"/>
      <c r="E118" s="6"/>
      <c r="F118" s="6"/>
      <c r="G118" s="6"/>
      <c r="H118" s="6"/>
      <c r="I118" s="6" t="s">
        <v>56</v>
      </c>
      <c r="J118" s="6"/>
      <c r="M118" s="12" t="s">
        <v>51</v>
      </c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H118" s="12" t="s">
        <v>70</v>
      </c>
      <c r="AI118" s="6"/>
      <c r="AJ118" s="6"/>
      <c r="AK118" s="6"/>
      <c r="AL118" s="6"/>
      <c r="AM118" s="6"/>
      <c r="AN118" s="6" t="s">
        <v>56</v>
      </c>
      <c r="AO118" s="6"/>
      <c r="AU118" s="12" t="s">
        <v>70</v>
      </c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O118" s="12" t="s">
        <v>57</v>
      </c>
      <c r="BP118" s="6"/>
      <c r="BQ118" s="6"/>
      <c r="BR118" s="6"/>
      <c r="BS118" s="6"/>
      <c r="BT118" s="6"/>
      <c r="BU118" s="6" t="s">
        <v>56</v>
      </c>
      <c r="BV118" s="6"/>
      <c r="BX118" s="12" t="s">
        <v>57</v>
      </c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R118" s="12" t="s">
        <v>90</v>
      </c>
      <c r="CS118" s="6"/>
      <c r="CT118" s="6"/>
      <c r="CU118" s="6"/>
      <c r="CV118" s="6"/>
      <c r="CW118" s="6"/>
      <c r="CX118" s="6" t="s">
        <v>56</v>
      </c>
      <c r="CY118" s="6"/>
      <c r="DA118" s="12" t="s">
        <v>90</v>
      </c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X118" s="12" t="s">
        <v>91</v>
      </c>
      <c r="DY118" s="6"/>
      <c r="DZ118" s="6"/>
      <c r="EA118" s="6"/>
      <c r="EB118" s="6"/>
      <c r="EC118" s="6"/>
      <c r="ED118" s="6" t="s">
        <v>56</v>
      </c>
      <c r="EE118" s="6"/>
      <c r="EG118" s="12" t="s">
        <v>91</v>
      </c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</row>
    <row r="119" spans="1:152" x14ac:dyDescent="0.3">
      <c r="A119" s="5" t="s">
        <v>188</v>
      </c>
      <c r="B119" s="5" t="s">
        <v>187</v>
      </c>
      <c r="C119" s="5" t="s">
        <v>52</v>
      </c>
      <c r="D119" s="5" t="s">
        <v>54</v>
      </c>
      <c r="E119" s="6"/>
      <c r="F119" s="6"/>
      <c r="G119" s="6" t="s">
        <v>55</v>
      </c>
      <c r="H119" s="6" t="s">
        <v>13</v>
      </c>
      <c r="I119" s="7" t="s">
        <v>13</v>
      </c>
      <c r="J119" s="5" t="s">
        <v>53</v>
      </c>
      <c r="M119" s="41" t="s">
        <v>52</v>
      </c>
      <c r="N119" s="42"/>
      <c r="O119" s="42"/>
      <c r="P119" s="40"/>
      <c r="Q119" s="6"/>
      <c r="R119" s="41" t="s">
        <v>54</v>
      </c>
      <c r="S119" s="42"/>
      <c r="T119" s="40"/>
      <c r="U119" s="6"/>
      <c r="V119" s="6"/>
      <c r="W119" s="5" t="s">
        <v>53</v>
      </c>
      <c r="X119" s="6"/>
      <c r="Y119" s="6"/>
      <c r="Z119" s="6"/>
      <c r="AA119" s="6"/>
      <c r="AB119" s="46" t="s">
        <v>162</v>
      </c>
      <c r="AF119" s="5" t="s">
        <v>188</v>
      </c>
      <c r="AG119" s="5" t="s">
        <v>187</v>
      </c>
      <c r="AH119" s="5" t="s">
        <v>52</v>
      </c>
      <c r="AI119" s="5" t="s">
        <v>54</v>
      </c>
      <c r="AJ119" s="6"/>
      <c r="AK119" s="6"/>
      <c r="AL119" s="6" t="s">
        <v>55</v>
      </c>
      <c r="AM119" s="6" t="s">
        <v>13</v>
      </c>
      <c r="AN119" s="7" t="s">
        <v>13</v>
      </c>
      <c r="AO119" s="5" t="s">
        <v>53</v>
      </c>
      <c r="AU119" s="41" t="s">
        <v>52</v>
      </c>
      <c r="AV119" s="42"/>
      <c r="AW119" s="42"/>
      <c r="AX119" s="40"/>
      <c r="AY119" s="6"/>
      <c r="AZ119" s="41" t="s">
        <v>54</v>
      </c>
      <c r="BA119" s="42"/>
      <c r="BB119" s="40"/>
      <c r="BC119" s="6"/>
      <c r="BD119" s="6"/>
      <c r="BE119" s="5" t="s">
        <v>53</v>
      </c>
      <c r="BF119" s="6"/>
      <c r="BG119" s="6"/>
      <c r="BH119" s="6"/>
      <c r="BI119" s="6"/>
      <c r="BJ119" s="46" t="s">
        <v>162</v>
      </c>
      <c r="BM119" s="5" t="s">
        <v>188</v>
      </c>
      <c r="BN119" s="5" t="s">
        <v>187</v>
      </c>
      <c r="BO119" s="5" t="s">
        <v>52</v>
      </c>
      <c r="BP119" s="5" t="s">
        <v>54</v>
      </c>
      <c r="BQ119" s="6"/>
      <c r="BR119" s="6"/>
      <c r="BS119" s="6" t="s">
        <v>55</v>
      </c>
      <c r="BT119" s="6" t="s">
        <v>13</v>
      </c>
      <c r="BU119" s="7" t="s">
        <v>13</v>
      </c>
      <c r="BV119" s="5" t="s">
        <v>53</v>
      </c>
      <c r="BX119" s="41" t="s">
        <v>52</v>
      </c>
      <c r="BY119" s="42"/>
      <c r="BZ119" s="42"/>
      <c r="CA119" s="40"/>
      <c r="CB119" s="6"/>
      <c r="CC119" s="41" t="s">
        <v>54</v>
      </c>
      <c r="CD119" s="42"/>
      <c r="CE119" s="40"/>
      <c r="CF119" s="6"/>
      <c r="CG119" s="6"/>
      <c r="CH119" s="5" t="s">
        <v>53</v>
      </c>
      <c r="CI119" s="6"/>
      <c r="CJ119" s="6"/>
      <c r="CK119" s="6"/>
      <c r="CL119" s="6"/>
      <c r="CM119" s="46" t="s">
        <v>162</v>
      </c>
      <c r="CP119" s="5" t="s">
        <v>188</v>
      </c>
      <c r="CQ119" s="5" t="s">
        <v>187</v>
      </c>
      <c r="CR119" s="5" t="s">
        <v>52</v>
      </c>
      <c r="CS119" s="5" t="s">
        <v>54</v>
      </c>
      <c r="CT119" s="6"/>
      <c r="CU119" s="6"/>
      <c r="CV119" s="6" t="s">
        <v>55</v>
      </c>
      <c r="CW119" s="6" t="s">
        <v>13</v>
      </c>
      <c r="CX119" s="7" t="s">
        <v>13</v>
      </c>
      <c r="CY119" s="5" t="s">
        <v>53</v>
      </c>
      <c r="DA119" s="41" t="s">
        <v>52</v>
      </c>
      <c r="DB119" s="42"/>
      <c r="DC119" s="42"/>
      <c r="DD119" s="40"/>
      <c r="DE119" s="6"/>
      <c r="DF119" s="41" t="s">
        <v>54</v>
      </c>
      <c r="DG119" s="42"/>
      <c r="DH119" s="40"/>
      <c r="DI119" s="6"/>
      <c r="DJ119" s="6"/>
      <c r="DK119" s="5" t="s">
        <v>53</v>
      </c>
      <c r="DL119" s="6"/>
      <c r="DM119" s="6"/>
      <c r="DN119" s="6"/>
      <c r="DO119" s="6"/>
      <c r="DP119" s="46" t="s">
        <v>162</v>
      </c>
      <c r="DV119" s="5" t="s">
        <v>188</v>
      </c>
      <c r="DW119" s="5" t="s">
        <v>187</v>
      </c>
      <c r="DX119" s="5" t="s">
        <v>52</v>
      </c>
      <c r="DY119" s="5" t="s">
        <v>54</v>
      </c>
      <c r="DZ119" s="6"/>
      <c r="EA119" s="6"/>
      <c r="EB119" s="6" t="s">
        <v>55</v>
      </c>
      <c r="EC119" s="6" t="s">
        <v>13</v>
      </c>
      <c r="ED119" s="7" t="s">
        <v>13</v>
      </c>
      <c r="EE119" s="5" t="s">
        <v>53</v>
      </c>
      <c r="EG119" s="41" t="s">
        <v>52</v>
      </c>
      <c r="EH119" s="42"/>
      <c r="EI119" s="42"/>
      <c r="EJ119" s="40"/>
      <c r="EK119" s="6"/>
      <c r="EL119" s="41" t="s">
        <v>54</v>
      </c>
      <c r="EM119" s="42"/>
      <c r="EN119" s="40"/>
      <c r="EO119" s="6"/>
      <c r="EP119" s="6"/>
      <c r="EQ119" s="5" t="s">
        <v>53</v>
      </c>
      <c r="ER119" s="6"/>
      <c r="ES119" s="6"/>
      <c r="ET119" s="6"/>
      <c r="EU119" s="6"/>
      <c r="EV119" s="46" t="s">
        <v>162</v>
      </c>
    </row>
    <row r="120" spans="1:152" x14ac:dyDescent="0.3">
      <c r="A120" s="6">
        <f>$G$341*B120</f>
        <v>6.9279359161352819E-2</v>
      </c>
      <c r="B120" s="6">
        <f>C120*0.1</f>
        <v>1.5741731234117887E-3</v>
      </c>
      <c r="C120" s="9">
        <f>D120*(10^-3)*$B$35*I120/(0.1)</f>
        <v>1.5741731234117887E-2</v>
      </c>
      <c r="D120" s="8">
        <v>18.162837468694921</v>
      </c>
      <c r="E120" s="6"/>
      <c r="F120" s="6">
        <f>G120/60</f>
        <v>1.6666666666666666E-2</v>
      </c>
      <c r="G120" s="6">
        <v>1</v>
      </c>
      <c r="H120" s="6">
        <f>G120*60</f>
        <v>60</v>
      </c>
      <c r="I120" s="6">
        <f>H120</f>
        <v>60</v>
      </c>
      <c r="J120" s="6">
        <f>C120/2.32</f>
        <v>6.7852289802232272E-3</v>
      </c>
      <c r="M120" s="43">
        <f>R120*(10^-3)*$B$35*$I$120/(0.1)</f>
        <v>1.4378833373065291E-2</v>
      </c>
      <c r="N120" s="43">
        <f>S120*(10^-3)*$B$35*$I$120/(0.1)</f>
        <v>1.5079813095155518E-2</v>
      </c>
      <c r="O120" s="43">
        <f>T120*(10^-3)*$B$35*$I$120/(0.1)</f>
        <v>1.5860750912885236E-2</v>
      </c>
      <c r="P120" s="43">
        <f>U120*(10^-3)*$B$35*$I$120/(0.1)</f>
        <v>1.6218076228367469E-2</v>
      </c>
      <c r="Q120" s="43">
        <f>V120*(10^-3)*$B$35*$I$120/(0.1)</f>
        <v>1.6355699731416179E-2</v>
      </c>
      <c r="R120" s="44">
        <v>16.590323494940915</v>
      </c>
      <c r="S120" s="44">
        <v>17.399115143827757</v>
      </c>
      <c r="T120" s="44">
        <v>18.300162585537368</v>
      </c>
      <c r="U120" s="44">
        <v>18.712445169455947</v>
      </c>
      <c r="V120" s="44">
        <v>18.87123541181052</v>
      </c>
      <c r="W120" s="45">
        <f>M120/2.32</f>
        <v>6.1977730056315917E-3</v>
      </c>
      <c r="X120" s="45">
        <f t="shared" ref="X120:AA126" si="98">N120/2.32</f>
        <v>6.4999194375670345E-3</v>
      </c>
      <c r="Y120" s="45">
        <f t="shared" si="98"/>
        <v>6.8365305658988091E-3</v>
      </c>
      <c r="Z120" s="45">
        <f t="shared" si="98"/>
        <v>6.9905500984342546E-3</v>
      </c>
      <c r="AA120" s="45">
        <f t="shared" si="98"/>
        <v>7.0498705738862846E-3</v>
      </c>
      <c r="AB120" s="7">
        <f>_xlfn.STDEV.P(W120:AA120)</f>
        <v>3.214402660206134E-4</v>
      </c>
      <c r="AF120" s="6">
        <f t="shared" ref="AF120:AF136" si="99">$G$341*AG120</f>
        <v>4.637527449518597E-2</v>
      </c>
      <c r="AG120" s="6">
        <f>AH120*0.1</f>
        <v>1.0537440239760502E-3</v>
      </c>
      <c r="AH120" s="9">
        <f>AI120*(10^-3)*$B$35*AN120/(0.1)</f>
        <v>1.0537440239760502E-2</v>
      </c>
      <c r="AI120" s="8">
        <v>12.158117272136266</v>
      </c>
      <c r="AJ120" s="6"/>
      <c r="AK120" s="6">
        <f>AL120/60</f>
        <v>1.6666666666666666E-2</v>
      </c>
      <c r="AL120" s="6">
        <v>1</v>
      </c>
      <c r="AM120" s="6">
        <f>AL120*60</f>
        <v>60</v>
      </c>
      <c r="AN120" s="6">
        <f>AM120</f>
        <v>60</v>
      </c>
      <c r="AO120" s="6">
        <f t="shared" ref="AO120:AO136" si="100">AH120/2.32</f>
        <v>4.5420001033450444E-3</v>
      </c>
      <c r="AU120" s="43">
        <f>AZ120*(10^-3)*$AF$35*$AN$120/(0.1)</f>
        <v>1.0213865856597405E-2</v>
      </c>
      <c r="AV120" s="43">
        <f>BA120*(10^-3)*$AF$35*$AN$120/(0.1)</f>
        <v>1.0380331383261648E-2</v>
      </c>
      <c r="AW120" s="43">
        <f>BB120*(10^-3)*$AF$35*$AN$120/(0.1)</f>
        <v>1.0533256651776169E-2</v>
      </c>
      <c r="AX120" s="43">
        <f>BC120*(10^-3)*$AF$35*$AN$120/(0.1)</f>
        <v>1.0849605629857994E-2</v>
      </c>
      <c r="AY120" s="43">
        <f>BD120*(10^-3)*$AF$35*$AN$120/(0.1)</f>
        <v>1.0904324726364283E-2</v>
      </c>
      <c r="AZ120" s="44">
        <v>11.784776573898009</v>
      </c>
      <c r="BA120" s="44">
        <v>11.976844794348272</v>
      </c>
      <c r="BB120" s="44">
        <v>12.153290240886315</v>
      </c>
      <c r="BC120" s="44">
        <v>12.518294253903305</v>
      </c>
      <c r="BD120" s="44">
        <v>12.581429244680148</v>
      </c>
      <c r="BE120" s="45">
        <f>AU120/2.32</f>
        <v>4.4025283864643988E-3</v>
      </c>
      <c r="BF120" s="45">
        <f t="shared" ref="BF120:BF126" si="101">AV120/2.32</f>
        <v>4.4742807686472619E-3</v>
      </c>
      <c r="BG120" s="45">
        <f t="shared" ref="BG120:BG126" si="102">AW120/2.32</f>
        <v>4.5401968326621422E-3</v>
      </c>
      <c r="BH120" s="45">
        <f t="shared" ref="BH120:BH126" si="103">AX120/2.32</f>
        <v>4.6765541508008599E-3</v>
      </c>
      <c r="BI120" s="45">
        <f t="shared" ref="BI120:BI126" si="104">AY120/2.32</f>
        <v>4.7001399682604673E-3</v>
      </c>
      <c r="BJ120" s="7">
        <f>_xlfn.STDEV.P(BE120:BI120)</f>
        <v>1.146764179524263E-4</v>
      </c>
      <c r="BM120" s="6">
        <f t="shared" ref="BM120:BM130" si="105">$G$341*BN120</f>
        <v>1.2110997438967496E-2</v>
      </c>
      <c r="BN120" s="6">
        <f>BO120*0.1</f>
        <v>2.7518739920398766E-4</v>
      </c>
      <c r="BO120" s="9">
        <f>BP120*(10^-3)*$B$35*BU120/(0.1)</f>
        <v>2.7518739920398766E-3</v>
      </c>
      <c r="BP120" s="8">
        <v>3.1751171016959461</v>
      </c>
      <c r="BQ120" s="6"/>
      <c r="BR120" s="6">
        <f>BS120/60</f>
        <v>1.6666666666666666E-2</v>
      </c>
      <c r="BS120" s="6">
        <v>1</v>
      </c>
      <c r="BT120" s="6">
        <f>BS120*60</f>
        <v>60</v>
      </c>
      <c r="BU120" s="6">
        <f>BT120</f>
        <v>60</v>
      </c>
      <c r="BV120" s="6">
        <f>BO120/2.32</f>
        <v>1.1861525827758089E-3</v>
      </c>
      <c r="BX120" s="43">
        <f>CC120*(10^-3)*$BI$35*BU120/(0.1)</f>
        <v>3.0274016841796698E-3</v>
      </c>
      <c r="BY120" s="43">
        <f>CD120*(10^-3)*$BI$35*$BU$120/(0.1)</f>
        <v>2.4239807083179209E-3</v>
      </c>
      <c r="BZ120" s="43">
        <f>CE120*(10^-3)*$BI$35*$BU$120/(0.1)</f>
        <v>2.8060308920219942E-3</v>
      </c>
      <c r="CA120" s="43">
        <f>CF120*(10^-3)*$BI$35*$BU$120/(0.1)</f>
        <v>2.5017411433516522E-3</v>
      </c>
      <c r="CB120" s="43">
        <f>CG120*(10^-3)*$BI$35*$BU$120/(0.1)</f>
        <v>2.7810776626322402E-3</v>
      </c>
      <c r="CC120" s="44">
        <v>3.4930214424595243</v>
      </c>
      <c r="CD120" s="44">
        <v>2.7967932483188194</v>
      </c>
      <c r="CE120" s="44">
        <v>3.2376034291242575</v>
      </c>
      <c r="CF120" s="44">
        <v>2.8865133764297357</v>
      </c>
      <c r="CG120" s="44">
        <v>3.2088123487160956</v>
      </c>
      <c r="CH120" s="45">
        <f>BX120/2.32</f>
        <v>1.3049145190429613E-3</v>
      </c>
      <c r="CI120" s="45">
        <f t="shared" ref="CI120:CI130" si="106">BY120/2.32</f>
        <v>1.0448192708266901E-3</v>
      </c>
      <c r="CJ120" s="45">
        <f t="shared" ref="CJ120:CJ130" si="107">BZ120/2.32</f>
        <v>1.2094960741474113E-3</v>
      </c>
      <c r="CK120" s="45">
        <f t="shared" ref="CK120:CK130" si="108">CA120/2.32</f>
        <v>1.0783366997205398E-3</v>
      </c>
      <c r="CL120" s="45">
        <f t="shared" ref="CL120:CL130" si="109">CB120/2.32</f>
        <v>1.1987403718242415E-3</v>
      </c>
      <c r="CM120" s="7">
        <f>_xlfn.STDEV.P(CH120:CL120)</f>
        <v>9.4469838431098833E-5</v>
      </c>
      <c r="CP120" s="6">
        <f t="shared" ref="CP120:CP126" si="110">$G$341*CQ120</f>
        <v>2.1263381173117399E-3</v>
      </c>
      <c r="CQ120" s="6">
        <f>CR120*0.1</f>
        <v>4.8314885646710746E-5</v>
      </c>
      <c r="CR120" s="9">
        <f>CS120*(10^-3)*$B$35*CX120/(0.1)</f>
        <v>4.8314885646710744E-4</v>
      </c>
      <c r="CS120" s="8">
        <v>0.55745800907708254</v>
      </c>
      <c r="CT120" s="6"/>
      <c r="CU120" s="6">
        <f>CV120/60</f>
        <v>1.6666666666666666E-2</v>
      </c>
      <c r="CV120" s="6">
        <v>1</v>
      </c>
      <c r="CW120" s="6">
        <f>CV120*60</f>
        <v>60</v>
      </c>
      <c r="CX120" s="6">
        <f>CW120</f>
        <v>60</v>
      </c>
      <c r="CY120" s="6">
        <f>CR120/2.32</f>
        <v>2.0825381744271875E-4</v>
      </c>
      <c r="DA120" s="43">
        <f>DF120*(10^-3)*$CK$35*$CX$120/(0.1)</f>
        <v>4.3155605511005068E-4</v>
      </c>
      <c r="DB120" s="43">
        <f>DG120*(10^-3)*$CK$35*$CX$120/(0.1)</f>
        <v>4.6441869473042089E-4</v>
      </c>
      <c r="DC120" s="43">
        <f>DH120*(10^-3)*$CK$35*$CX$120/(0.1)</f>
        <v>5.6236119350079605E-4</v>
      </c>
      <c r="DD120" s="43">
        <f>DI120*(10^-3)*$CK$35*$CX$120/(0.1)</f>
        <v>4.9717341106796792E-4</v>
      </c>
      <c r="DE120" s="43">
        <f>DJ120*(10^-3)*$CK$35*$CX$120/(0.1)</f>
        <v>5.2982073489293239E-4</v>
      </c>
      <c r="DF120" s="44">
        <v>0.49793014319839701</v>
      </c>
      <c r="DG120" s="44">
        <v>0.53584711518451711</v>
      </c>
      <c r="DH120" s="44">
        <v>0.64885334429536867</v>
      </c>
      <c r="DI120" s="44">
        <v>0.57363956509515157</v>
      </c>
      <c r="DJ120" s="44">
        <v>0.61130810533394753</v>
      </c>
      <c r="DK120" s="45">
        <f>DA120/2.32</f>
        <v>1.8601554099571151E-4</v>
      </c>
      <c r="DL120" s="45">
        <f t="shared" ref="DL120:DL126" si="111">DB120/2.32</f>
        <v>2.0018047186656074E-4</v>
      </c>
      <c r="DM120" s="45">
        <f t="shared" ref="DM120:DM126" si="112">DC120/2.32</f>
        <v>2.4239706616413625E-4</v>
      </c>
      <c r="DN120" s="45">
        <f t="shared" ref="DN120:DN126" si="113">DD120/2.32</f>
        <v>2.1429888408102066E-4</v>
      </c>
      <c r="DO120" s="45">
        <f t="shared" ref="DO120:DO126" si="114">DE120/2.32</f>
        <v>2.2837100641936742E-4</v>
      </c>
      <c r="DP120" s="7">
        <f>_xlfn.STDEV.P(DK120:DO120)</f>
        <v>1.9933884764983558E-5</v>
      </c>
      <c r="DV120" s="6">
        <f t="shared" ref="DV120:DV126" si="115">$G$341*DW120</f>
        <v>1.4338184603568964E-3</v>
      </c>
      <c r="DW120" s="6">
        <f>DX120*0.1</f>
        <v>3.2579378785659998E-5</v>
      </c>
      <c r="DX120" s="9">
        <f>DY120*(10^-3)*$B$35*ED120/(0.1)</f>
        <v>3.2579378785659995E-4</v>
      </c>
      <c r="DY120" s="8">
        <v>0.37590145131718</v>
      </c>
      <c r="DZ120" s="6"/>
      <c r="EA120" s="6">
        <f>EB120/60</f>
        <v>1.6666666666666666E-2</v>
      </c>
      <c r="EB120" s="6">
        <v>1</v>
      </c>
      <c r="EC120" s="6">
        <f>EB120*60</f>
        <v>60</v>
      </c>
      <c r="ED120" s="6">
        <f>EC120</f>
        <v>60</v>
      </c>
      <c r="EE120" s="6">
        <f>DX120/2.32</f>
        <v>1.4042835683474137E-4</v>
      </c>
      <c r="EG120" s="43">
        <f>EL120*(10^-3)*$DW$35*$ED$120/(0.1)</f>
        <v>3.3587912963729198E-4</v>
      </c>
      <c r="EH120" s="43">
        <f>EM120*(10^-3)*$DW$35*$ED$120/(0.1)</f>
        <v>2.0057866668170366E-4</v>
      </c>
      <c r="EI120" s="43">
        <f>EN120*(10^-3)*$DW$35*$ED$120/(0.1)</f>
        <v>3.3587912963729198E-4</v>
      </c>
      <c r="EJ120" s="43">
        <f>EO120*(10^-3)*$DW$35*$ED$120/(0.1)</f>
        <v>3.3587912963729198E-4</v>
      </c>
      <c r="EK120" s="43">
        <f>EP120*(10^-3)*$DW$35*$ED$120/(0.1)</f>
        <v>4.1953564012096531E-4</v>
      </c>
      <c r="EL120" s="44">
        <v>0.38753793658392988</v>
      </c>
      <c r="EM120" s="44">
        <v>0.23142802201650356</v>
      </c>
      <c r="EN120" s="44">
        <v>0.38753793658392988</v>
      </c>
      <c r="EO120" s="44">
        <v>0.38753793658392988</v>
      </c>
      <c r="EP120" s="44">
        <v>0.48406096702545898</v>
      </c>
      <c r="EQ120" s="45">
        <f>EG120/2.32</f>
        <v>1.4477548691262587E-4</v>
      </c>
      <c r="ER120" s="45">
        <f t="shared" ref="ER120:ER126" si="116">EH120/2.32</f>
        <v>8.6456321845561934E-5</v>
      </c>
      <c r="ES120" s="45">
        <f t="shared" ref="ES120:ES126" si="117">EI120/2.32</f>
        <v>1.4477548691262587E-4</v>
      </c>
      <c r="ET120" s="45">
        <f t="shared" ref="ET120:ET126" si="118">EJ120/2.32</f>
        <v>1.4477548691262587E-4</v>
      </c>
      <c r="EU120" s="45">
        <f t="shared" ref="EU120:EU126" si="119">EK120/2.32</f>
        <v>1.8083432763834714E-4</v>
      </c>
      <c r="EV120" s="7">
        <f>_xlfn.STDEV.P(EQ120:EU120)</f>
        <v>3.0338953840388204E-5</v>
      </c>
    </row>
    <row r="121" spans="1:152" x14ac:dyDescent="0.3">
      <c r="A121" s="6">
        <f t="shared" ref="A121:A127" si="120">$G$341*B121</f>
        <v>0.56867026601837067</v>
      </c>
      <c r="B121" s="6">
        <f t="shared" ref="B121:B127" si="121">C121*0.1</f>
        <v>1.2921387548701903E-2</v>
      </c>
      <c r="C121" s="9">
        <f t="shared" ref="C121:C127" si="122">(D121*(10^-3)*$B$35*I121/(0.1))+C120</f>
        <v>0.12921387548701901</v>
      </c>
      <c r="D121" s="6">
        <v>14.547151295834921</v>
      </c>
      <c r="E121" s="6"/>
      <c r="F121" s="6">
        <f t="shared" ref="F121:F127" si="123">G121/60</f>
        <v>0.16666666666666666</v>
      </c>
      <c r="G121" s="6">
        <v>10</v>
      </c>
      <c r="H121" s="6">
        <f t="shared" ref="H121:H126" si="124">G121*60</f>
        <v>600</v>
      </c>
      <c r="I121" s="6">
        <f t="shared" ref="I121:I127" si="125">H121-H120</f>
        <v>540</v>
      </c>
      <c r="J121" s="6">
        <f t="shared" ref="J121:J126" si="126">C121/2.32</f>
        <v>5.5695635985784059E-2</v>
      </c>
      <c r="M121" s="43">
        <f>(R121*(10^-3)*$B$35*$I$121/(0.1))+M120</f>
        <v>0.14330671840468265</v>
      </c>
      <c r="N121" s="43">
        <f>(S121*(10^-3)*$B$35*$I$121/(0.1))+N120</f>
        <v>0.14185068476433721</v>
      </c>
      <c r="O121" s="43">
        <f>(T121*(10^-3)*$B$35*$I$121/(0.1))+O120</f>
        <v>0.14154235010455532</v>
      </c>
      <c r="P121" s="43">
        <f>(U121*(10^-3)*$B$35*$I$121/(0.1))+P120</f>
        <v>0.14020759336814004</v>
      </c>
      <c r="Q121" s="43">
        <f>(V121*(10^-3)*$B$35*$I$121/(0.1))+Q120</f>
        <v>0.13926237454538992</v>
      </c>
      <c r="R121" s="44">
        <v>16.528580315067032</v>
      </c>
      <c r="S121" s="44">
        <v>16.252050776147286</v>
      </c>
      <c r="T121" s="44">
        <v>16.11240582947708</v>
      </c>
      <c r="U121" s="44">
        <v>15.895480576358933</v>
      </c>
      <c r="V121" s="44">
        <v>15.7566599764078</v>
      </c>
      <c r="W121" s="45">
        <f t="shared" ref="W121:W126" si="127">M121/2.32</f>
        <v>6.1770137243397701E-2</v>
      </c>
      <c r="X121" s="45">
        <f t="shared" si="98"/>
        <v>6.1142536536352252E-2</v>
      </c>
      <c r="Y121" s="45">
        <f t="shared" si="98"/>
        <v>6.100963366575661E-2</v>
      </c>
      <c r="Z121" s="45">
        <f t="shared" si="98"/>
        <v>6.0434307486267262E-2</v>
      </c>
      <c r="AA121" s="45">
        <f t="shared" si="98"/>
        <v>6.0026885579909456E-2</v>
      </c>
      <c r="AB121" s="7">
        <f>_xlfn.STDEV.P(W121:AA121)</f>
        <v>6.0074390820746241E-4</v>
      </c>
      <c r="AF121" s="6">
        <f t="shared" si="99"/>
        <v>0.45268618362218432</v>
      </c>
      <c r="AG121" s="6">
        <f t="shared" ref="AG121:AG136" si="128">AH121*0.1</f>
        <v>1.028598463126981E-2</v>
      </c>
      <c r="AH121" s="9">
        <f t="shared" ref="AH121:AH136" si="129">(AI121*(10^-3)*$B$35*AN121/(0.1))+AH120</f>
        <v>0.10285984631269809</v>
      </c>
      <c r="AI121" s="6">
        <v>11.835750685606655</v>
      </c>
      <c r="AJ121" s="6"/>
      <c r="AK121" s="6">
        <f t="shared" ref="AK121:AK126" si="130">AL121/60</f>
        <v>0.16666666666666666</v>
      </c>
      <c r="AL121" s="6">
        <v>10</v>
      </c>
      <c r="AM121" s="6">
        <f t="shared" ref="AM121:AM126" si="131">AL121*60</f>
        <v>600</v>
      </c>
      <c r="AN121" s="6">
        <f t="shared" ref="AN121:AN136" si="132">AM121-AM120</f>
        <v>540</v>
      </c>
      <c r="AO121" s="6">
        <f t="shared" si="100"/>
        <v>4.4336140652025041E-2</v>
      </c>
      <c r="AU121" s="43">
        <f>(AZ121*(10^-3)*$AF$35*$AN$121/(0.1))+AU120</f>
        <v>0.10390576257646542</v>
      </c>
      <c r="AV121" s="43">
        <f>(BA121*(10^-3)*$AF$35*$AN$121/(0.1))+AV120</f>
        <v>0.10345470817399753</v>
      </c>
      <c r="AW121" s="43">
        <f>(BB121*(10^-3)*$AF$35*$AN$121/(0.1))+AW120</f>
        <v>0.10162373252222945</v>
      </c>
      <c r="AX121" s="43">
        <f>(BC121*(10^-3)*$AF$35*$AN$121/(0.1))+AX120</f>
        <v>0.10282329346519259</v>
      </c>
      <c r="AY121" s="43">
        <f>(BD121*(10^-3)*$AF$35*$AN$121/(0.1))+AY120</f>
        <v>0.10263876411175255</v>
      </c>
      <c r="AZ121" s="44">
        <v>12.011319656919349</v>
      </c>
      <c r="BA121" s="44">
        <v>11.932153480088701</v>
      </c>
      <c r="BB121" s="44">
        <v>11.677816990430276</v>
      </c>
      <c r="BC121" s="44">
        <v>11.7910449386991</v>
      </c>
      <c r="BD121" s="44">
        <v>11.760373240181565</v>
      </c>
      <c r="BE121" s="45">
        <f t="shared" ref="BE121:BE126" si="133">AU121/2.32</f>
        <v>4.478696662778682E-2</v>
      </c>
      <c r="BF121" s="45">
        <f t="shared" si="101"/>
        <v>4.459254662672308E-2</v>
      </c>
      <c r="BG121" s="45">
        <f t="shared" si="102"/>
        <v>4.3803332983719592E-2</v>
      </c>
      <c r="BH121" s="45">
        <f t="shared" si="103"/>
        <v>4.4320385114307151E-2</v>
      </c>
      <c r="BI121" s="45">
        <f t="shared" si="104"/>
        <v>4.4240846599893344E-2</v>
      </c>
      <c r="BJ121" s="7">
        <f t="shared" ref="BJ121:BJ126" si="134">_xlfn.STDEV.P(BE121:BI121)</f>
        <v>3.3508148820936496E-4</v>
      </c>
      <c r="BM121" s="6">
        <f t="shared" si="105"/>
        <v>0.1184846151210424</v>
      </c>
      <c r="BN121" s="6">
        <f t="shared" ref="BN121:BN130" si="135">BO121*0.1</f>
        <v>2.6922202935933288E-3</v>
      </c>
      <c r="BO121" s="9">
        <f>(BP121*(10^-3)*$B$35*BU121/(0.1))+BO120</f>
        <v>2.6922202935933285E-2</v>
      </c>
      <c r="BP121" s="6">
        <v>3.0986409425141868</v>
      </c>
      <c r="BQ121" s="6"/>
      <c r="BR121" s="6">
        <f t="shared" ref="BR121:BR130" si="136">BS121/60</f>
        <v>0.16666666666666666</v>
      </c>
      <c r="BS121" s="6">
        <v>10</v>
      </c>
      <c r="BT121" s="6">
        <f t="shared" ref="BT121:BT130" si="137">BS121*60</f>
        <v>600</v>
      </c>
      <c r="BU121" s="6">
        <f>BT121-BT120</f>
        <v>540</v>
      </c>
      <c r="BV121" s="6">
        <f t="shared" ref="BV121:BV130" si="138">BO121/2.32</f>
        <v>1.1604397817212623E-2</v>
      </c>
      <c r="BX121" s="43">
        <f>(CC121*(10^-3)*$BI$35*$BU$121/(0.1))+BX120</f>
        <v>2.8728893433908262E-2</v>
      </c>
      <c r="BY121" s="43">
        <f>(CD121*(10^-3)*$BI$35*$BU$121/(0.1))+BY120</f>
        <v>2.6092415342403894E-2</v>
      </c>
      <c r="BZ121" s="43">
        <f>(CE121*(10^-3)*$BI$35*$BU$121/(0.1))+BZ120</f>
        <v>2.6474465526107969E-2</v>
      </c>
      <c r="CA121" s="43">
        <f>(CF121*(10^-3)*$BI$35*$BU$121/(0.1))+CA120</f>
        <v>2.6170175777437625E-2</v>
      </c>
      <c r="CB121" s="43">
        <f>(CG121*(10^-3)*$BI$35*$BU$121/(0.1))+CB120</f>
        <v>2.6905912873699228E-2</v>
      </c>
      <c r="CC121" s="44">
        <v>3.2949363165171333</v>
      </c>
      <c r="CD121" s="44">
        <v>3.0342979929087313</v>
      </c>
      <c r="CE121" s="44">
        <v>3.0342979929087313</v>
      </c>
      <c r="CF121" s="44">
        <v>3.0342979929087313</v>
      </c>
      <c r="CG121" s="44">
        <v>3.0928086369840884</v>
      </c>
      <c r="CH121" s="45">
        <f t="shared" ref="CH121:CH130" si="139">BX121/2.32</f>
        <v>1.2383143721512183E-2</v>
      </c>
      <c r="CI121" s="45">
        <f t="shared" si="106"/>
        <v>1.1246730751036162E-2</v>
      </c>
      <c r="CJ121" s="45">
        <f t="shared" si="107"/>
        <v>1.1411407554356883E-2</v>
      </c>
      <c r="CK121" s="45">
        <f t="shared" si="108"/>
        <v>1.1280248179930012E-2</v>
      </c>
      <c r="CL121" s="45">
        <f t="shared" si="109"/>
        <v>1.1597376238663462E-2</v>
      </c>
      <c r="CM121" s="7">
        <f t="shared" ref="CM121:CM130" si="140">_xlfn.STDEV.P(CH121:CL121)</f>
        <v>4.182375494874575E-4</v>
      </c>
      <c r="CP121" s="6">
        <f t="shared" si="110"/>
        <v>1.8359473664869938E-2</v>
      </c>
      <c r="CQ121" s="6">
        <f t="shared" ref="CQ121:CQ126" si="141">CR121*0.1</f>
        <v>4.1716595466643807E-4</v>
      </c>
      <c r="CR121" s="9">
        <f t="shared" ref="CR121:CR126" si="142">(CS121*(10^-3)*$B$35*CX121/(0.1))+CR120</f>
        <v>4.1716595466643807E-3</v>
      </c>
      <c r="CS121" s="6">
        <v>0.47286779869970041</v>
      </c>
      <c r="CT121" s="6"/>
      <c r="CU121" s="6">
        <f t="shared" ref="CU121:CU126" si="143">CV121/60</f>
        <v>0.16666666666666666</v>
      </c>
      <c r="CV121" s="6">
        <v>10</v>
      </c>
      <c r="CW121" s="6">
        <f t="shared" ref="CW121:CW126" si="144">CV121*60</f>
        <v>600</v>
      </c>
      <c r="CX121" s="6">
        <f t="shared" ref="CX121:CX126" si="145">CW121-CW120</f>
        <v>540</v>
      </c>
      <c r="CY121" s="6">
        <f t="shared" ref="CY121:CY126" si="146">CR121/2.32</f>
        <v>1.7981291149415436E-3</v>
      </c>
      <c r="DA121" s="43">
        <f>(DF121*(10^-3)*$CK$35*$CX$121/(0.1))+DA120</f>
        <v>4.5915116259381081E-3</v>
      </c>
      <c r="DB121" s="43">
        <f>(DG121*(10^-3)*$CK$35*$CX$121/(0.1))+DB120</f>
        <v>3.5898471619079993E-3</v>
      </c>
      <c r="DC121" s="43">
        <f>(DH121*(10^-3)*$CK$35*$CX$121/(0.1))+DC120</f>
        <v>4.575257003210275E-3</v>
      </c>
      <c r="DD121" s="43">
        <f>(DI121*(10^-3)*$CK$35*$CX$121/(0.1))+DD120</f>
        <v>3.6226018782455462E-3</v>
      </c>
      <c r="DE121" s="43">
        <f>(DJ121*(10^-3)*$CK$35*$CX$121/(0.1))+DE120</f>
        <v>4.5427165446024114E-3</v>
      </c>
      <c r="DF121" s="44">
        <v>0.53330712547313031</v>
      </c>
      <c r="DG121" s="44">
        <v>0.40068054654020718</v>
      </c>
      <c r="DH121" s="44">
        <v>0.51445403506396925</v>
      </c>
      <c r="DI121" s="44">
        <v>0.40068054654020718</v>
      </c>
      <c r="DJ121" s="44">
        <v>0.51445403506396925</v>
      </c>
      <c r="DK121" s="45">
        <f t="shared" ref="DK121:DK126" si="147">DA121/2.32</f>
        <v>1.9790998387664259E-3</v>
      </c>
      <c r="DL121" s="45">
        <f t="shared" si="111"/>
        <v>1.5473479146155171E-3</v>
      </c>
      <c r="DM121" s="45">
        <f t="shared" si="112"/>
        <v>1.9720935358664982E-3</v>
      </c>
      <c r="DN121" s="45">
        <f t="shared" si="113"/>
        <v>1.561466326829977E-3</v>
      </c>
      <c r="DO121" s="45">
        <f t="shared" si="114"/>
        <v>1.9580674761217292E-3</v>
      </c>
      <c r="DP121" s="7">
        <f t="shared" ref="DP121:DP126" si="148">_xlfn.STDEV.P(DK121:DO121)</f>
        <v>2.0363904931726111E-4</v>
      </c>
      <c r="DV121" s="6">
        <f t="shared" si="115"/>
        <v>1.215695337459163E-2</v>
      </c>
      <c r="DW121" s="6">
        <f t="shared" ref="DW121:DW126" si="149">DX121*0.1</f>
        <v>2.7623161496459058E-4</v>
      </c>
      <c r="DX121" s="9">
        <f t="shared" ref="DX121:DX126" si="150">(DY121*(10^-3)*$B$35*ED121/(0.1))+DX120</f>
        <v>2.7623161496459058E-3</v>
      </c>
      <c r="DY121" s="6">
        <v>0.31236264781986667</v>
      </c>
      <c r="DZ121" s="6"/>
      <c r="EA121" s="6">
        <f t="shared" ref="EA121:EA126" si="151">EB121/60</f>
        <v>0.16666666666666666</v>
      </c>
      <c r="EB121" s="6">
        <v>10</v>
      </c>
      <c r="EC121" s="6">
        <f t="shared" ref="EC121:EC126" si="152">EB121*60</f>
        <v>600</v>
      </c>
      <c r="ED121" s="6">
        <f t="shared" ref="ED121:ED126" si="153">EC121-EC120</f>
        <v>540</v>
      </c>
      <c r="EE121" s="6">
        <f t="shared" ref="EE121:EE126" si="154">DX121/2.32</f>
        <v>1.1906535127784077E-3</v>
      </c>
      <c r="EG121" s="43">
        <f>(EL121*(10^-3)*$DW$35*$ED$121/(0.1))+EG120</f>
        <v>2.4384055448335371E-3</v>
      </c>
      <c r="EH121" s="43">
        <f>(EM121*(10^-3)*$DW$35*$ED$121/(0.1))+EH120</f>
        <v>2.1508842360345049E-3</v>
      </c>
      <c r="EI121" s="43">
        <f>(EN121*(10^-3)*$DW$35*$ED$121/(0.1))+EI120</f>
        <v>2.2861846989900934E-3</v>
      </c>
      <c r="EJ121" s="43">
        <f>(EO121*(10^-3)*$DW$35*$ED$121/(0.1))+EJ120</f>
        <v>3.3464381732668837E-3</v>
      </c>
      <c r="EK121" s="43">
        <f>(EP121*(10^-3)*$DW$35*$ED$121/(0.1))+EK120</f>
        <v>3.5805572174391026E-3</v>
      </c>
      <c r="EL121" s="44">
        <v>0.26954430152638298</v>
      </c>
      <c r="EM121" s="44">
        <v>0.25002955903655005</v>
      </c>
      <c r="EN121" s="44">
        <v>0.25002955903655005</v>
      </c>
      <c r="EO121" s="44">
        <v>0.38595426376287989</v>
      </c>
      <c r="EP121" s="44">
        <v>0.40524359028731427</v>
      </c>
      <c r="EQ121" s="45">
        <f t="shared" ref="EQ121:EQ126" si="155">EG121/2.32</f>
        <v>1.0510368727730765E-3</v>
      </c>
      <c r="ER121" s="45">
        <f t="shared" si="116"/>
        <v>9.2710527415280387E-4</v>
      </c>
      <c r="ES121" s="45">
        <f t="shared" si="117"/>
        <v>9.8542443921986788E-4</v>
      </c>
      <c r="ET121" s="45">
        <f t="shared" si="118"/>
        <v>1.4424302470977949E-3</v>
      </c>
      <c r="EU121" s="45">
        <f t="shared" si="119"/>
        <v>1.5433436282065098E-3</v>
      </c>
      <c r="EV121" s="7">
        <f t="shared" ref="EV121:EV126" si="156">_xlfn.STDEV.P(EQ121:EU121)</f>
        <v>2.5252651738826888E-4</v>
      </c>
    </row>
    <row r="122" spans="1:152" x14ac:dyDescent="0.3">
      <c r="A122" s="6">
        <f t="shared" si="120"/>
        <v>1.5367039913909548</v>
      </c>
      <c r="B122" s="6">
        <f t="shared" si="121"/>
        <v>3.491715499638616E-2</v>
      </c>
      <c r="C122" s="9">
        <f t="shared" si="122"/>
        <v>0.34917154996386157</v>
      </c>
      <c r="D122" s="6">
        <v>12.68937778221083</v>
      </c>
      <c r="E122" s="6"/>
      <c r="F122" s="6">
        <f t="shared" si="123"/>
        <v>0.5</v>
      </c>
      <c r="G122" s="6">
        <v>30</v>
      </c>
      <c r="H122" s="6">
        <f t="shared" si="124"/>
        <v>1800</v>
      </c>
      <c r="I122" s="6">
        <f t="shared" si="125"/>
        <v>1200</v>
      </c>
      <c r="J122" s="6">
        <f t="shared" si="126"/>
        <v>0.15050497843269897</v>
      </c>
      <c r="M122" s="43">
        <f>(R122*(10^-3)*$B$35*$I$122/(0.1))+M121</f>
        <v>0.36575753596316896</v>
      </c>
      <c r="N122" s="43">
        <f>(S122*(10^-3)*$B$35*$I$122/(0.1))+N121</f>
        <v>0.36310802885063376</v>
      </c>
      <c r="O122" s="43">
        <f>(T122*(10^-3)*$B$35*$I$122/(0.1))+O121</f>
        <v>0.35943968366136747</v>
      </c>
      <c r="P122" s="43">
        <f>(U122*(10^-3)*$B$35*$I$122/(0.1))+P121</f>
        <v>0.35918664828188518</v>
      </c>
      <c r="Q122" s="43">
        <f>(V122*(10^-3)*$B$35*$I$122/(0.1))+Q121</f>
        <v>0.35839498841988671</v>
      </c>
      <c r="R122" s="44">
        <v>12.833207428088516</v>
      </c>
      <c r="S122" s="44">
        <v>12.764355837446438</v>
      </c>
      <c r="T122" s="44">
        <v>12.570516531487948</v>
      </c>
      <c r="U122" s="44">
        <v>12.632921132672502</v>
      </c>
      <c r="V122" s="44">
        <v>12.641779962760861</v>
      </c>
      <c r="W122" s="45">
        <f t="shared" si="127"/>
        <v>0.15765411032895216</v>
      </c>
      <c r="X122" s="45">
        <f t="shared" si="98"/>
        <v>0.15651208140113526</v>
      </c>
      <c r="Y122" s="45">
        <f t="shared" si="98"/>
        <v>0.15493089812989977</v>
      </c>
      <c r="Z122" s="45">
        <f t="shared" si="98"/>
        <v>0.154821831155985</v>
      </c>
      <c r="AA122" s="45">
        <f t="shared" si="98"/>
        <v>0.15448059845684772</v>
      </c>
      <c r="AB122" s="7">
        <f t="shared" ref="AB122:AB126" si="157">_xlfn.STDEV.P(W122:AA122)</f>
        <v>1.2104249205259544E-3</v>
      </c>
      <c r="AF122" s="6">
        <f t="shared" si="99"/>
        <v>1.1694003889342961</v>
      </c>
      <c r="AG122" s="6">
        <f t="shared" si="128"/>
        <v>2.6571242647904936E-2</v>
      </c>
      <c r="AH122" s="9">
        <f t="shared" si="129"/>
        <v>0.26571242647904936</v>
      </c>
      <c r="AI122" s="6">
        <v>9.3949798180657247</v>
      </c>
      <c r="AJ122" s="6"/>
      <c r="AK122" s="6">
        <f t="shared" si="130"/>
        <v>0.5</v>
      </c>
      <c r="AL122" s="6">
        <v>30</v>
      </c>
      <c r="AM122" s="6">
        <f t="shared" si="131"/>
        <v>1800</v>
      </c>
      <c r="AN122" s="6">
        <f t="shared" si="132"/>
        <v>1200</v>
      </c>
      <c r="AO122" s="6">
        <f t="shared" si="100"/>
        <v>0.11453121830993508</v>
      </c>
      <c r="AU122" s="43">
        <f>(AZ122*(10^-3)*$AF$35*$AN$122/(0.1))+AU121</f>
        <v>0.26945572812492435</v>
      </c>
      <c r="AV122" s="43">
        <f>(BA122*(10^-3)*$AF$35*$AN$122/(0.1))+AV121</f>
        <v>0.26751334095965301</v>
      </c>
      <c r="AW122" s="43">
        <f>(BB122*(10^-3)*$AF$35*$AN$122/(0.1))+AW121</f>
        <v>0.26467813116146527</v>
      </c>
      <c r="AX122" s="43">
        <f>(BC122*(10^-3)*$AF$35*$AN$122/(0.1))+AX121</f>
        <v>0.26203865282536276</v>
      </c>
      <c r="AY122" s="43">
        <f>(BD122*(10^-3)*$AF$35*$AN$122/(0.1))+AY121</f>
        <v>0.26493466165706392</v>
      </c>
      <c r="AZ122" s="44">
        <v>9.5505922204026152</v>
      </c>
      <c r="BA122" s="44">
        <v>9.4645571008223985</v>
      </c>
      <c r="BB122" s="44">
        <v>9.4066227436965395</v>
      </c>
      <c r="BC122" s="44">
        <v>9.1851482266164872</v>
      </c>
      <c r="BD122" s="44">
        <v>9.3628647482007263</v>
      </c>
      <c r="BE122" s="45">
        <f t="shared" si="133"/>
        <v>0.1161447103986743</v>
      </c>
      <c r="BF122" s="45">
        <f t="shared" si="101"/>
        <v>0.11530747455157458</v>
      </c>
      <c r="BG122" s="45">
        <f t="shared" si="102"/>
        <v>0.11408540136270055</v>
      </c>
      <c r="BH122" s="45">
        <f t="shared" si="103"/>
        <v>0.11294769518334602</v>
      </c>
      <c r="BI122" s="45">
        <f t="shared" si="104"/>
        <v>0.11419597485218273</v>
      </c>
      <c r="BJ122" s="7">
        <f t="shared" si="134"/>
        <v>1.0976784810260462E-3</v>
      </c>
      <c r="BM122" s="6">
        <f t="shared" si="105"/>
        <v>0.30265053489164284</v>
      </c>
      <c r="BN122" s="6">
        <f t="shared" si="135"/>
        <v>6.8768583251907038E-3</v>
      </c>
      <c r="BO122" s="9">
        <f>(BP122*(10^-3)*$B$35*BU122/(0.1))+BO121</f>
        <v>6.8768583251907031E-2</v>
      </c>
      <c r="BP122" s="6">
        <v>2.414121398175479</v>
      </c>
      <c r="BQ122" s="6"/>
      <c r="BR122" s="6">
        <f t="shared" si="136"/>
        <v>0.5</v>
      </c>
      <c r="BS122" s="6">
        <v>30</v>
      </c>
      <c r="BT122" s="6">
        <f t="shared" si="137"/>
        <v>1800</v>
      </c>
      <c r="BU122" s="6">
        <f t="shared" ref="BU122:BU130" si="158">BT122-BT121</f>
        <v>1200</v>
      </c>
      <c r="BV122" s="6">
        <f t="shared" si="138"/>
        <v>2.9641630712028896E-2</v>
      </c>
      <c r="BX122" s="43">
        <f>(CC122*(10^-3)*$BI$35*$BU$122/(0.1))+BX121</f>
        <v>7.4524457723457421E-2</v>
      </c>
      <c r="BY122" s="43">
        <f>(CD122*(10^-3)*$BI$35*$BU$122/(0.1))+BY121</f>
        <v>6.4891179273939337E-2</v>
      </c>
      <c r="BZ122" s="43">
        <f>(CE122*(10^-3)*$BI$35*$BU$122/(0.1))+BZ121</f>
        <v>6.7455359618102353E-2</v>
      </c>
      <c r="CA122" s="43">
        <f>(CF122*(10^-3)*$BI$35*$BU$122/(0.1))+CA121</f>
        <v>6.930698825619161E-2</v>
      </c>
      <c r="CB122" s="43">
        <f>(CG122*(10^-3)*$BI$35*$BU$122/(0.1))+CB121</f>
        <v>6.7343750367515873E-2</v>
      </c>
      <c r="CC122" s="44">
        <v>2.641950172467356</v>
      </c>
      <c r="CD122" s="44">
        <v>2.2383041381986519</v>
      </c>
      <c r="CE122" s="44">
        <v>2.3641914210219439</v>
      </c>
      <c r="CF122" s="44">
        <v>2.4885665442917952</v>
      </c>
      <c r="CG122" s="44">
        <v>2.332862437626436</v>
      </c>
      <c r="CH122" s="45">
        <f t="shared" si="139"/>
        <v>3.2122611087697164E-2</v>
      </c>
      <c r="CI122" s="45">
        <f t="shared" si="106"/>
        <v>2.7970335893939373E-2</v>
      </c>
      <c r="CJ122" s="45">
        <f t="shared" si="107"/>
        <v>2.9075586042285499E-2</v>
      </c>
      <c r="CK122" s="45">
        <f t="shared" si="108"/>
        <v>2.987370183456535E-2</v>
      </c>
      <c r="CL122" s="45">
        <f t="shared" si="109"/>
        <v>2.9027478606687879E-2</v>
      </c>
      <c r="CM122" s="7">
        <f t="shared" si="140"/>
        <v>1.3925590288386329E-3</v>
      </c>
      <c r="CP122" s="6">
        <f t="shared" si="110"/>
        <v>3.0700315998906064E-2</v>
      </c>
      <c r="CQ122" s="6">
        <f t="shared" si="141"/>
        <v>6.9757591454001509E-4</v>
      </c>
      <c r="CR122" s="9">
        <f t="shared" si="142"/>
        <v>6.9757591454001509E-3</v>
      </c>
      <c r="CS122" s="6">
        <v>0.16176875497494925</v>
      </c>
      <c r="CT122" s="6"/>
      <c r="CU122" s="6">
        <f t="shared" si="143"/>
        <v>0.5</v>
      </c>
      <c r="CV122" s="6">
        <v>30</v>
      </c>
      <c r="CW122" s="6">
        <f t="shared" si="144"/>
        <v>1800</v>
      </c>
      <c r="CX122" s="6">
        <f t="shared" si="145"/>
        <v>1200</v>
      </c>
      <c r="CY122" s="6">
        <f t="shared" si="146"/>
        <v>3.0067927350862721E-3</v>
      </c>
      <c r="DA122" s="43">
        <f>(DF122*(10^-3)*$CK$35*$CX$122/(0.1))+DA121</f>
        <v>7.5303110800853329E-3</v>
      </c>
      <c r="DB122" s="43">
        <f>(DG122*(10^-3)*$CK$35*$CX$122/(0.1))+DB121</f>
        <v>5.177583355492248E-3</v>
      </c>
      <c r="DC122" s="43">
        <f>(DH122*(10^-3)*$CK$35*$CX$122/(0.1))+DC121</f>
        <v>7.1771378808834149E-3</v>
      </c>
      <c r="DD122" s="43">
        <f>(DI122*(10^-3)*$CK$35*$CX$122/(0.1))+DD121</f>
        <v>7.2335524874599664E-3</v>
      </c>
      <c r="DE122" s="43">
        <f>(DJ122*(10^-3)*$CK$35*$CX$122/(0.1))+DE121</f>
        <v>7.8178721068155026E-3</v>
      </c>
      <c r="DF122" s="44">
        <v>0.16953960160073989</v>
      </c>
      <c r="DG122" s="44">
        <v>9.1596642066704093E-2</v>
      </c>
      <c r="DH122" s="44">
        <v>0.15010273899118148</v>
      </c>
      <c r="DI122" s="44">
        <v>0.20831606145231452</v>
      </c>
      <c r="DJ122" s="44">
        <v>0.18894401535785685</v>
      </c>
      <c r="DK122" s="45">
        <f t="shared" si="147"/>
        <v>3.2458237414160918E-3</v>
      </c>
      <c r="DL122" s="45">
        <f t="shared" si="111"/>
        <v>2.231716963574245E-3</v>
      </c>
      <c r="DM122" s="45">
        <f t="shared" si="112"/>
        <v>3.0935939141738858E-3</v>
      </c>
      <c r="DN122" s="45">
        <f t="shared" si="113"/>
        <v>3.1179105549396409E-3</v>
      </c>
      <c r="DO122" s="45">
        <f t="shared" si="114"/>
        <v>3.3697724598342688E-3</v>
      </c>
      <c r="DP122" s="7">
        <f t="shared" si="148"/>
        <v>4.023408069981011E-4</v>
      </c>
      <c r="DV122" s="6">
        <f t="shared" si="115"/>
        <v>2.8539410372135678E-2</v>
      </c>
      <c r="DW122" s="6">
        <f t="shared" si="149"/>
        <v>6.4847558218894975E-4</v>
      </c>
      <c r="DX122" s="9">
        <f t="shared" si="150"/>
        <v>6.4847558218894975E-3</v>
      </c>
      <c r="DY122" s="6">
        <v>0.21474787540346094</v>
      </c>
      <c r="DZ122" s="6"/>
      <c r="EA122" s="6">
        <f t="shared" si="151"/>
        <v>0.5</v>
      </c>
      <c r="EB122" s="6">
        <v>30</v>
      </c>
      <c r="EC122" s="6">
        <f t="shared" si="152"/>
        <v>1800</v>
      </c>
      <c r="ED122" s="6">
        <f t="shared" si="153"/>
        <v>1200</v>
      </c>
      <c r="EE122" s="6">
        <f t="shared" si="154"/>
        <v>2.7951533715040939E-3</v>
      </c>
      <c r="EG122" s="43">
        <f>(EL122*(10^-3)*$DW$35*$ED$122/(0.1))+EG121</f>
        <v>8.4561016174507925E-3</v>
      </c>
      <c r="EH122" s="43">
        <f>(EM122*(10^-3)*$DW$35*$ED$122/(0.1))+EH121</f>
        <v>4.4426159684340157E-3</v>
      </c>
      <c r="EI122" s="43">
        <f>(EN122*(10^-3)*$DW$35*$ED$122/(0.1))+EI121</f>
        <v>2.8615249133215944E-3</v>
      </c>
      <c r="EJ122" s="43">
        <f>(EO122*(10^-3)*$DW$35*$ED$122/(0.1))+EJ121</f>
        <v>8.3547197397493486E-3</v>
      </c>
      <c r="EK122" s="43">
        <f>(EP122*(10^-3)*$DW$35*$ED$122/(0.1))+EK121</f>
        <v>8.2512475763791022E-3</v>
      </c>
      <c r="EL122" s="44">
        <v>0.34716142105787789</v>
      </c>
      <c r="EM122" s="44">
        <v>0.13221020724584692</v>
      </c>
      <c r="EN122" s="44">
        <v>3.3191428079583536E-2</v>
      </c>
      <c r="EO122" s="44">
        <v>0.28892820851981454</v>
      </c>
      <c r="EP122" s="44">
        <v>0.26945254176416295</v>
      </c>
      <c r="EQ122" s="45">
        <f t="shared" si="155"/>
        <v>3.6448713868322386E-3</v>
      </c>
      <c r="ER122" s="45">
        <f t="shared" si="116"/>
        <v>1.9149206760491449E-3</v>
      </c>
      <c r="ES122" s="45">
        <f t="shared" si="117"/>
        <v>1.2334159109144804E-3</v>
      </c>
      <c r="ET122" s="45">
        <f t="shared" si="118"/>
        <v>3.601172301616099E-3</v>
      </c>
      <c r="EU122" s="45">
        <f t="shared" si="119"/>
        <v>3.556572231197889E-3</v>
      </c>
      <c r="EV122" s="7">
        <f t="shared" si="156"/>
        <v>1.0163814485442027E-3</v>
      </c>
    </row>
    <row r="123" spans="1:152" x14ac:dyDescent="0.3">
      <c r="A123" s="6">
        <f t="shared" si="120"/>
        <v>2.5395471990628757</v>
      </c>
      <c r="B123" s="6">
        <f t="shared" si="121"/>
        <v>5.7703867281592269E-2</v>
      </c>
      <c r="C123" s="9">
        <f t="shared" si="122"/>
        <v>0.57703867281592269</v>
      </c>
      <c r="D123" s="6">
        <v>8.7637830411161524</v>
      </c>
      <c r="E123" s="6"/>
      <c r="F123" s="6">
        <f t="shared" si="123"/>
        <v>1</v>
      </c>
      <c r="G123" s="6">
        <v>60</v>
      </c>
      <c r="H123" s="6">
        <f t="shared" si="124"/>
        <v>3600</v>
      </c>
      <c r="I123" s="6">
        <f t="shared" si="125"/>
        <v>1800</v>
      </c>
      <c r="J123" s="6">
        <f t="shared" si="126"/>
        <v>0.24872356586893221</v>
      </c>
      <c r="M123" s="43">
        <f>(R123*(10^-3)*$B$35*$I$123/(0.1))+M122</f>
        <v>0.60009199863565055</v>
      </c>
      <c r="N123" s="43">
        <f>(S123*(10^-3)*$B$35*$I$122/(0.1))+N122</f>
        <v>0.51879309047466426</v>
      </c>
      <c r="O123" s="43">
        <f>(T123*(10^-3)*$B$35*$I$122/(0.1))+O122</f>
        <v>0.50562432074294605</v>
      </c>
      <c r="P123" s="43">
        <f>(U123*(10^-3)*$B$35*$I$122/(0.1))+P122</f>
        <v>0.5090851255983424</v>
      </c>
      <c r="Q123" s="43">
        <f>(V123*(10^-3)*$B$35*$I$122/(0.1))+Q122</f>
        <v>0.5096946005015216</v>
      </c>
      <c r="R123" s="44">
        <v>9.0125173136603038</v>
      </c>
      <c r="S123" s="44">
        <v>8.9814850365772756</v>
      </c>
      <c r="T123" s="44">
        <v>8.4334047006795085</v>
      </c>
      <c r="U123" s="44">
        <v>8.6476564737773849</v>
      </c>
      <c r="V123" s="44">
        <v>8.7284880628611319</v>
      </c>
      <c r="W123" s="45">
        <f t="shared" si="127"/>
        <v>0.25866034423950457</v>
      </c>
      <c r="X123" s="45">
        <f t="shared" si="98"/>
        <v>0.22361771141149323</v>
      </c>
      <c r="Y123" s="45">
        <f t="shared" si="98"/>
        <v>0.2179415175616147</v>
      </c>
      <c r="Z123" s="45">
        <f t="shared" si="98"/>
        <v>0.21943324379238899</v>
      </c>
      <c r="AA123" s="45">
        <f t="shared" si="98"/>
        <v>0.21969594849203519</v>
      </c>
      <c r="AB123" s="7">
        <f t="shared" si="157"/>
        <v>1.550932618274042E-2</v>
      </c>
      <c r="AF123" s="6">
        <f t="shared" si="99"/>
        <v>1.925435850490447</v>
      </c>
      <c r="AG123" s="6">
        <f t="shared" si="128"/>
        <v>4.374996251966478E-2</v>
      </c>
      <c r="AH123" s="9">
        <f t="shared" si="129"/>
        <v>0.43749962519664776</v>
      </c>
      <c r="AI123" s="6">
        <v>6.6069458373754246</v>
      </c>
      <c r="AJ123" s="6"/>
      <c r="AK123" s="6">
        <f t="shared" si="130"/>
        <v>1</v>
      </c>
      <c r="AL123" s="6">
        <v>60</v>
      </c>
      <c r="AM123" s="6">
        <f t="shared" si="131"/>
        <v>3600</v>
      </c>
      <c r="AN123" s="6">
        <f t="shared" si="132"/>
        <v>1800</v>
      </c>
      <c r="AO123" s="6">
        <f t="shared" si="100"/>
        <v>0.18857742465372748</v>
      </c>
      <c r="AU123" s="43">
        <f>(AZ123*(10^-3)*$AF$35*$AN$123/(0.1))+AU122</f>
        <v>0.44263470151419781</v>
      </c>
      <c r="AV123" s="43">
        <f>(BA123*(10^-3)*$AF$35*$AN$123/(0.1))+AV122</f>
        <v>0.43583730450988722</v>
      </c>
      <c r="AW123" s="43">
        <f>(BB123*(10^-3)*$AF$35*$AN$123/(0.1))+AW122</f>
        <v>0.4367872797869542</v>
      </c>
      <c r="AX123" s="43">
        <f>(BC123*(10^-3)*$AF$35*$AN$123/(0.1))+AX122</f>
        <v>0.43681278855634115</v>
      </c>
      <c r="AY123" s="43">
        <f>(BD123*(10^-3)*$AF$35*$AN$123/(0.1))+AY122</f>
        <v>0.43542940604563696</v>
      </c>
      <c r="AZ123" s="44">
        <v>6.6604735736807594</v>
      </c>
      <c r="BA123" s="44">
        <v>6.4737496077164032</v>
      </c>
      <c r="BB123" s="44">
        <v>6.6193280499015001</v>
      </c>
      <c r="BC123" s="44">
        <v>6.721823611821792</v>
      </c>
      <c r="BD123" s="44">
        <v>6.5572379673309884</v>
      </c>
      <c r="BE123" s="45">
        <f t="shared" si="133"/>
        <v>0.19079081961818872</v>
      </c>
      <c r="BF123" s="45">
        <f t="shared" si="101"/>
        <v>0.18786090711633072</v>
      </c>
      <c r="BG123" s="45">
        <f t="shared" si="102"/>
        <v>0.18827037921851475</v>
      </c>
      <c r="BH123" s="45">
        <f t="shared" si="103"/>
        <v>0.18828137437773326</v>
      </c>
      <c r="BI123" s="45">
        <f t="shared" si="104"/>
        <v>0.18768508881277457</v>
      </c>
      <c r="BJ123" s="7">
        <f t="shared" si="134"/>
        <v>1.1305485527158066E-3</v>
      </c>
      <c r="BM123" s="6">
        <f t="shared" si="105"/>
        <v>0.51606804378939086</v>
      </c>
      <c r="BN123" s="6">
        <f t="shared" si="135"/>
        <v>1.1726154141999338E-2</v>
      </c>
      <c r="BO123" s="9">
        <f>(BP123*(10^-3)*$B$35*BU123/(0.1))+BO122</f>
        <v>0.11726154141999337</v>
      </c>
      <c r="BP123" s="6">
        <v>1.8650420433093473</v>
      </c>
      <c r="BQ123" s="6"/>
      <c r="BR123" s="6">
        <f t="shared" si="136"/>
        <v>1</v>
      </c>
      <c r="BS123" s="6">
        <v>60</v>
      </c>
      <c r="BT123" s="6">
        <f t="shared" si="137"/>
        <v>3600</v>
      </c>
      <c r="BU123" s="6">
        <f t="shared" si="158"/>
        <v>1800</v>
      </c>
      <c r="BV123" s="6">
        <f t="shared" si="138"/>
        <v>5.0543767853445422E-2</v>
      </c>
      <c r="BX123" s="43">
        <f>(CC123*(10^-3)*$BI$35*$BU$123/(0.1))+BX122</f>
        <v>0.13026004708975561</v>
      </c>
      <c r="BY123" s="43">
        <f>(CD123*(10^-3)*$BI$35*$BU$123/(0.1))+BY122</f>
        <v>0.11304257768719589</v>
      </c>
      <c r="BZ123" s="43">
        <f>(CE123*(10^-3)*$BI$35*$BU$123/(0.1))+BZ122</f>
        <v>0.11645986554883145</v>
      </c>
      <c r="CA123" s="43">
        <f>(CF123*(10^-3)*$BI$35*$BU$123/(0.1))+CA122</f>
        <v>0.11660263385734788</v>
      </c>
      <c r="CB123" s="43">
        <f>(CG123*(10^-3)*$BI$35*$BU$123/(0.1))+CB122</f>
        <v>0.10944863243236433</v>
      </c>
      <c r="CC123" s="44">
        <v>2.1435940681626935</v>
      </c>
      <c r="CD123" s="44">
        <v>1.851905634908525</v>
      </c>
      <c r="CE123" s="44">
        <v>1.8847162005587901</v>
      </c>
      <c r="CF123" s="44">
        <v>1.8189933310702002</v>
      </c>
      <c r="CG123" s="44">
        <v>1.6193562580227088</v>
      </c>
      <c r="CH123" s="45">
        <f t="shared" si="139"/>
        <v>5.6146572021446385E-2</v>
      </c>
      <c r="CI123" s="45">
        <f t="shared" si="106"/>
        <v>4.8725249003101677E-2</v>
      </c>
      <c r="CJ123" s="45">
        <f t="shared" si="107"/>
        <v>5.0198217908979076E-2</v>
      </c>
      <c r="CK123" s="45">
        <f t="shared" si="108"/>
        <v>5.0259755972994778E-2</v>
      </c>
      <c r="CL123" s="45">
        <f t="shared" si="109"/>
        <v>4.7176134669122557E-2</v>
      </c>
      <c r="CM123" s="7">
        <f t="shared" si="140"/>
        <v>3.0407360958551108E-3</v>
      </c>
      <c r="CP123" s="6">
        <f t="shared" si="110"/>
        <v>4.8576111200606967E-2</v>
      </c>
      <c r="CQ123" s="6">
        <f t="shared" si="141"/>
        <v>1.1037516746331963E-3</v>
      </c>
      <c r="CR123" s="9">
        <f t="shared" si="142"/>
        <v>1.1037516746331962E-2</v>
      </c>
      <c r="CS123" s="6">
        <v>0.15621543790361181</v>
      </c>
      <c r="CT123" s="6"/>
      <c r="CU123" s="6">
        <f t="shared" si="143"/>
        <v>1</v>
      </c>
      <c r="CV123" s="6">
        <v>60</v>
      </c>
      <c r="CW123" s="6">
        <f t="shared" si="144"/>
        <v>3600</v>
      </c>
      <c r="CX123" s="6">
        <f t="shared" si="145"/>
        <v>1800</v>
      </c>
      <c r="CY123" s="6">
        <f t="shared" si="146"/>
        <v>4.7575503216948116E-3</v>
      </c>
      <c r="DA123" s="43">
        <f>(DF123*(10^-3)*$CK$35*$CX$123/(0.1))+DA122</f>
        <v>1.2431440194147911E-2</v>
      </c>
      <c r="DB123" s="43">
        <f>(DG123*(10^-3)*$CK$35*$CX$123/(0.1))+DB122</f>
        <v>6.0282864384604215E-3</v>
      </c>
      <c r="DC123" s="43">
        <f>(DH123*(10^-3)*$CK$35*$CX$123/(0.1))+DC122</f>
        <v>1.4582426895715792E-2</v>
      </c>
      <c r="DD123" s="43">
        <f>(DI123*(10^-3)*$CK$35*$CX$123/(0.1))+DD122</f>
        <v>9.1019590908247121E-3</v>
      </c>
      <c r="DE123" s="43">
        <f>(DJ123*(10^-3)*$CK$35*$CX$123/(0.1))+DE122</f>
        <v>1.6219006287165737E-2</v>
      </c>
      <c r="DF123" s="44">
        <v>0.1884977160133294</v>
      </c>
      <c r="DG123" s="44">
        <v>3.2718090956816027E-2</v>
      </c>
      <c r="DH123" s="44">
        <v>0.28480785411454856</v>
      </c>
      <c r="DI123" s="44">
        <v>7.1859028628312172E-2</v>
      </c>
      <c r="DJ123" s="44">
        <v>0.32310811816277191</v>
      </c>
      <c r="DK123" s="45">
        <f t="shared" si="147"/>
        <v>5.3583793940292727E-3</v>
      </c>
      <c r="DL123" s="45">
        <f t="shared" si="111"/>
        <v>2.5983993269225957E-3</v>
      </c>
      <c r="DM123" s="45">
        <f t="shared" si="112"/>
        <v>6.2855288343602557E-3</v>
      </c>
      <c r="DN123" s="45">
        <f t="shared" si="113"/>
        <v>3.9232582288037552E-3</v>
      </c>
      <c r="DO123" s="45">
        <f t="shared" si="114"/>
        <v>6.9909509858473006E-3</v>
      </c>
      <c r="DP123" s="7">
        <f t="shared" si="148"/>
        <v>1.5916698864394897E-3</v>
      </c>
      <c r="DV123" s="6">
        <f t="shared" si="115"/>
        <v>5.0391577725784759E-2</v>
      </c>
      <c r="DW123" s="6">
        <f t="shared" si="149"/>
        <v>1.1450029021991539E-3</v>
      </c>
      <c r="DX123" s="9">
        <f t="shared" si="150"/>
        <v>1.1450029021991539E-2</v>
      </c>
      <c r="DY123" s="6">
        <v>0.19096470136156463</v>
      </c>
      <c r="DZ123" s="6"/>
      <c r="EA123" s="6">
        <f t="shared" si="151"/>
        <v>1</v>
      </c>
      <c r="EB123" s="6">
        <v>60</v>
      </c>
      <c r="EC123" s="6">
        <f t="shared" si="152"/>
        <v>3600</v>
      </c>
      <c r="ED123" s="6">
        <f t="shared" si="153"/>
        <v>1800</v>
      </c>
      <c r="EE123" s="6">
        <f t="shared" si="154"/>
        <v>4.9353573370653188E-3</v>
      </c>
      <c r="EG123" s="43">
        <f>(EL123*(10^-3)*$DW$35*$ED$123/(0.1))+EG122</f>
        <v>1.5452609995516304E-2</v>
      </c>
      <c r="EH123" s="43">
        <f>(EM123*(10^-3)*$DW$35*$ED$123/(0.1))+EH122</f>
        <v>1.1944822547497059E-2</v>
      </c>
      <c r="EI123" s="43">
        <f>(EN123*(10^-3)*$DW$35*$ED$123/(0.1))+EI122</f>
        <v>5.2685995762146668E-3</v>
      </c>
      <c r="EJ123" s="43">
        <f>(EO123*(10^-3)*$DW$35*$ED$123/(0.1))+EJ122</f>
        <v>9.7325007510635827E-3</v>
      </c>
      <c r="EK123" s="43">
        <f>(EP123*(10^-3)*$DW$35*$ED$123/(0.1))+EK122</f>
        <v>1.4741215624885666E-2</v>
      </c>
      <c r="EL123" s="44">
        <v>0.26908612661303455</v>
      </c>
      <c r="EM123" s="44">
        <v>0.2885353093751411</v>
      </c>
      <c r="EN123" s="44">
        <v>9.2576234102268076E-2</v>
      </c>
      <c r="EO123" s="44">
        <v>5.2989539299035965E-2</v>
      </c>
      <c r="EP123" s="44">
        <v>0.24960455553657798</v>
      </c>
      <c r="EQ123" s="45">
        <f t="shared" si="155"/>
        <v>6.6606077566880627E-3</v>
      </c>
      <c r="ER123" s="45">
        <f t="shared" si="116"/>
        <v>5.1486304084039048E-3</v>
      </c>
      <c r="ES123" s="45">
        <f t="shared" si="117"/>
        <v>2.270948093195977E-3</v>
      </c>
      <c r="ET123" s="45">
        <f t="shared" si="118"/>
        <v>4.1950434271825791E-3</v>
      </c>
      <c r="EU123" s="45">
        <f t="shared" si="119"/>
        <v>6.3539722521058911E-3</v>
      </c>
      <c r="EV123" s="7">
        <f t="shared" si="156"/>
        <v>1.5925533669476069E-3</v>
      </c>
    </row>
    <row r="124" spans="1:152" x14ac:dyDescent="0.3">
      <c r="A124" s="6">
        <f t="shared" si="120"/>
        <v>3.2979534744469068</v>
      </c>
      <c r="B124" s="6">
        <f t="shared" si="121"/>
        <v>7.4936457042647286E-2</v>
      </c>
      <c r="C124" s="9">
        <f t="shared" si="122"/>
        <v>0.74936457042647286</v>
      </c>
      <c r="D124" s="6">
        <v>6.6276642287046723</v>
      </c>
      <c r="E124" s="6"/>
      <c r="F124" s="6">
        <f t="shared" si="123"/>
        <v>1.5</v>
      </c>
      <c r="G124" s="7">
        <v>90</v>
      </c>
      <c r="H124" s="6">
        <f t="shared" si="124"/>
        <v>5400</v>
      </c>
      <c r="I124" s="6">
        <f t="shared" si="125"/>
        <v>1800</v>
      </c>
      <c r="J124" s="6">
        <f t="shared" si="126"/>
        <v>0.32300197001141073</v>
      </c>
      <c r="M124" s="43">
        <f>(R124*(10^-3)*$B$35*$I$124/(0.1))+M123</f>
        <v>0.77521017041753781</v>
      </c>
      <c r="N124" s="43">
        <f>(S124*(10^-3)*$B$35*$I$124/(0.1))+N123</f>
        <v>0.698139723490252</v>
      </c>
      <c r="O124" s="43">
        <f>(T124*(10^-3)*$B$35*$I$124/(0.1))+O123</f>
        <v>0.67588745021741192</v>
      </c>
      <c r="P124" s="43">
        <f>(U124*(10^-3)*$B$35*$I$124/(0.1))+P123</f>
        <v>0.68151906610853508</v>
      </c>
      <c r="Q124" s="43">
        <f>(V124*(10^-3)*$B$35*$I$124/(0.1))+Q123</f>
        <v>0.67387799231173906</v>
      </c>
      <c r="R124" s="44">
        <v>6.7350552587164829</v>
      </c>
      <c r="S124" s="44">
        <v>6.8976821282099809</v>
      </c>
      <c r="T124" s="44">
        <v>6.5483300440162271</v>
      </c>
      <c r="U124" s="44">
        <v>6.6318195650241414</v>
      </c>
      <c r="V124" s="44">
        <v>6.3145029733555438</v>
      </c>
      <c r="W124" s="45">
        <f t="shared" si="127"/>
        <v>0.33414231483514562</v>
      </c>
      <c r="X124" s="45">
        <f t="shared" si="98"/>
        <v>0.30092229460786724</v>
      </c>
      <c r="Y124" s="45">
        <f t="shared" si="98"/>
        <v>0.29133079750750518</v>
      </c>
      <c r="Z124" s="45">
        <f t="shared" si="98"/>
        <v>0.29375821815023068</v>
      </c>
      <c r="AA124" s="45">
        <f t="shared" si="98"/>
        <v>0.29046465185850823</v>
      </c>
      <c r="AB124" s="7">
        <f t="shared" si="157"/>
        <v>1.6425812036089095E-2</v>
      </c>
      <c r="AF124" s="6">
        <f t="shared" si="99"/>
        <v>2.5061168782292071</v>
      </c>
      <c r="AG124" s="6">
        <f t="shared" si="128"/>
        <v>5.694425990068637E-2</v>
      </c>
      <c r="AH124" s="9">
        <f t="shared" si="129"/>
        <v>0.56944259900686367</v>
      </c>
      <c r="AI124" s="6">
        <v>5.0745345875241705</v>
      </c>
      <c r="AJ124" s="6"/>
      <c r="AK124" s="6">
        <f t="shared" si="130"/>
        <v>1.5</v>
      </c>
      <c r="AL124" s="7">
        <v>90</v>
      </c>
      <c r="AM124" s="6">
        <f t="shared" si="131"/>
        <v>5400</v>
      </c>
      <c r="AN124" s="6">
        <f t="shared" si="132"/>
        <v>1800</v>
      </c>
      <c r="AO124" s="6">
        <f t="shared" si="100"/>
        <v>0.24544939612364816</v>
      </c>
      <c r="AU124" s="43">
        <f>(AZ124*(10^-3)*$AF$35*$AN$124/(0.1))+AU123</f>
        <v>0.57317154978216212</v>
      </c>
      <c r="AV124" s="43">
        <f>(BA124*(10^-3)*$AF$35*$AN$124/(0.1))+AV123</f>
        <v>0.56314801749687204</v>
      </c>
      <c r="AW124" s="43">
        <f>(BB124*(10^-3)*$AF$35*$AN$124/(0.1))+AW123</f>
        <v>0.57114004119195216</v>
      </c>
      <c r="AX124" s="43">
        <f>(BC124*(10^-3)*$AF$35*$AN$124/(0.1))+AX123</f>
        <v>0.57305123466329733</v>
      </c>
      <c r="AY124" s="43">
        <f>(BD124*(10^-3)*$AF$35*$AN$124/(0.1))+AY123</f>
        <v>0.56660640750041691</v>
      </c>
      <c r="AZ124" s="44">
        <v>5.0204549158864786</v>
      </c>
      <c r="BA124" s="44">
        <v>4.8963775619008825</v>
      </c>
      <c r="BB124" s="44">
        <v>5.1672151611475687</v>
      </c>
      <c r="BC124" s="44">
        <v>5.2397387064711438</v>
      </c>
      <c r="BD124" s="44">
        <v>5.0450752453667143</v>
      </c>
      <c r="BE124" s="45">
        <f t="shared" si="133"/>
        <v>0.24705670249231126</v>
      </c>
      <c r="BF124" s="45">
        <f t="shared" si="101"/>
        <v>0.24273621443830692</v>
      </c>
      <c r="BG124" s="45">
        <f t="shared" si="102"/>
        <v>0.24618105223791042</v>
      </c>
      <c r="BH124" s="45">
        <f t="shared" si="103"/>
        <v>0.24700484252728336</v>
      </c>
      <c r="BI124" s="45">
        <f t="shared" si="104"/>
        <v>0.24422689978466247</v>
      </c>
      <c r="BJ124" s="7">
        <f t="shared" si="134"/>
        <v>1.6966837934643054E-3</v>
      </c>
      <c r="BM124" s="6">
        <f t="shared" si="105"/>
        <v>0.68662333462608749</v>
      </c>
      <c r="BN124" s="6">
        <f t="shared" si="135"/>
        <v>1.5601529984687288E-2</v>
      </c>
      <c r="BO124" s="9">
        <f t="shared" ref="BO124:BO130" si="159">(BP124*(10^-3)*$B$35*BU124/(0.1))+BO123</f>
        <v>0.15601529984687287</v>
      </c>
      <c r="BP124" s="6">
        <v>1.4904718444244265</v>
      </c>
      <c r="BQ124" s="6"/>
      <c r="BR124" s="6">
        <f t="shared" si="136"/>
        <v>1.5</v>
      </c>
      <c r="BS124" s="7">
        <v>90</v>
      </c>
      <c r="BT124" s="6">
        <f t="shared" si="137"/>
        <v>5400</v>
      </c>
      <c r="BU124" s="6">
        <f t="shared" si="158"/>
        <v>1800</v>
      </c>
      <c r="BV124" s="6">
        <f t="shared" si="138"/>
        <v>6.7247974071927966E-2</v>
      </c>
      <c r="BX124" s="43">
        <f>(CC124*(10^-3)*$BI$35*$BU$124/(0.1))+BX123</f>
        <v>0.17147656877596457</v>
      </c>
      <c r="BY124" s="43">
        <f>(CD124*(10^-3)*$BI$35*$BU$124/(0.1))+BY123</f>
        <v>0.15425909937340485</v>
      </c>
      <c r="BZ124" s="43">
        <f>(CE124*(10^-3)*$BI$35*$BU$124/(0.1))+BZ123</f>
        <v>0.16544803936626915</v>
      </c>
      <c r="CA124" s="43">
        <f>(CF124*(10^-3)*$BI$35*$BU$124/(0.1))+CA123</f>
        <v>0.13973839707931743</v>
      </c>
      <c r="CB124" s="43">
        <f>(CG124*(10^-3)*$BI$35*$BU$124/(0.1))+CB123</f>
        <v>0.14802564811914803</v>
      </c>
      <c r="CC124" s="44">
        <v>1.5851898652439893</v>
      </c>
      <c r="CD124" s="44">
        <v>1.5851898652439893</v>
      </c>
      <c r="CE124" s="44">
        <v>1.8840880665142763</v>
      </c>
      <c r="CF124" s="44">
        <v>0.88980282381329723</v>
      </c>
      <c r="CG124" s="44">
        <v>1.4836743081721364</v>
      </c>
      <c r="CH124" s="45">
        <f t="shared" si="139"/>
        <v>7.3912314127570933E-2</v>
      </c>
      <c r="CI124" s="45">
        <f t="shared" si="106"/>
        <v>6.6490991109226225E-2</v>
      </c>
      <c r="CJ124" s="45">
        <f t="shared" si="107"/>
        <v>7.1313810071667746E-2</v>
      </c>
      <c r="CK124" s="45">
        <f t="shared" si="108"/>
        <v>6.0232067706602346E-2</v>
      </c>
      <c r="CL124" s="45">
        <f t="shared" si="109"/>
        <v>6.3804158672046571E-2</v>
      </c>
      <c r="CM124" s="7">
        <f t="shared" si="140"/>
        <v>4.9508168733146812E-3</v>
      </c>
      <c r="CP124" s="6">
        <f t="shared" si="110"/>
        <v>6.0347459526784421E-2</v>
      </c>
      <c r="CQ124" s="6">
        <f t="shared" si="141"/>
        <v>1.3712215298065081E-3</v>
      </c>
      <c r="CR124" s="9">
        <f t="shared" si="142"/>
        <v>1.3712215298065079E-2</v>
      </c>
      <c r="CS124" s="6">
        <v>0.10286906471801535</v>
      </c>
      <c r="CT124" s="6"/>
      <c r="CU124" s="6">
        <f t="shared" si="143"/>
        <v>1.5</v>
      </c>
      <c r="CV124" s="7">
        <v>90</v>
      </c>
      <c r="CW124" s="6">
        <f t="shared" si="144"/>
        <v>5400</v>
      </c>
      <c r="CX124" s="6">
        <f t="shared" si="145"/>
        <v>1800</v>
      </c>
      <c r="CY124" s="6">
        <f t="shared" si="146"/>
        <v>5.9104376284763276E-3</v>
      </c>
      <c r="DA124" s="43">
        <f>(DF124*(10^-3)*$CK$35*$CX$124/(0.1))+DA123</f>
        <v>1.5813168059566587E-2</v>
      </c>
      <c r="DB124" s="43">
        <f>(DG124*(10^-3)*$CK$35*$CX$124/(0.1))+DB123</f>
        <v>5.3473825127357908E-3</v>
      </c>
      <c r="DC124" s="43">
        <f>(DH124*(10^-3)*$CK$35*$CX$124/(0.1))+DC123</f>
        <v>1.4922306189170445E-2</v>
      </c>
      <c r="DD124" s="43">
        <f>(DI124*(10^-3)*$CK$35*$CX$124/(0.1))+DD123</f>
        <v>1.4995324422955536E-2</v>
      </c>
      <c r="DE124" s="43">
        <f>(DJ124*(10^-3)*$CK$35*$CX$124/(0.1))+DE123</f>
        <v>2.0607907071566935E-2</v>
      </c>
      <c r="DF124" s="44">
        <v>0.13006145399864141</v>
      </c>
      <c r="DG124" s="44">
        <v>-2.6187605312281474E-2</v>
      </c>
      <c r="DH124" s="44">
        <v>1.307177775680368E-2</v>
      </c>
      <c r="DI124" s="44">
        <v>0.22665917972888824</v>
      </c>
      <c r="DJ124" s="44">
        <v>0.16879738411604162</v>
      </c>
      <c r="DK124" s="45">
        <f t="shared" si="147"/>
        <v>6.8160207153304259E-3</v>
      </c>
      <c r="DL124" s="45">
        <f t="shared" si="111"/>
        <v>2.3049062554895651E-3</v>
      </c>
      <c r="DM124" s="45">
        <f t="shared" si="112"/>
        <v>6.4320285298148476E-3</v>
      </c>
      <c r="DN124" s="45">
        <f t="shared" si="113"/>
        <v>6.463501906446352E-3</v>
      </c>
      <c r="DO124" s="45">
        <f t="shared" si="114"/>
        <v>8.8827185653305753E-3</v>
      </c>
      <c r="DP124" s="7">
        <f t="shared" si="148"/>
        <v>2.1386656165680016E-3</v>
      </c>
      <c r="DV124" s="6">
        <f t="shared" si="115"/>
        <v>5.8710739955453665E-2</v>
      </c>
      <c r="DW124" s="6">
        <f t="shared" si="149"/>
        <v>1.3340318099398698E-3</v>
      </c>
      <c r="DX124" s="9">
        <f t="shared" si="150"/>
        <v>1.3340318099398698E-2</v>
      </c>
      <c r="DY124" s="6">
        <v>7.2700629876049333E-2</v>
      </c>
      <c r="DZ124" s="6"/>
      <c r="EA124" s="6">
        <f t="shared" si="151"/>
        <v>1.5</v>
      </c>
      <c r="EB124" s="7">
        <v>90</v>
      </c>
      <c r="EC124" s="6">
        <f t="shared" si="152"/>
        <v>5400</v>
      </c>
      <c r="ED124" s="6">
        <f t="shared" si="153"/>
        <v>1800</v>
      </c>
      <c r="EE124" s="6">
        <f t="shared" si="154"/>
        <v>5.7501371118097843E-3</v>
      </c>
      <c r="EG124" s="43">
        <f>(EL124*(10^-3)*$DW$35*$ED$124/(0.1))+EG123</f>
        <v>1.6313276374534513E-2</v>
      </c>
      <c r="EH124" s="43">
        <f>(EM124*(10^-3)*$DW$35*$ED$124/(0.1))+EH123</f>
        <v>1.5373083605343039E-2</v>
      </c>
      <c r="EI124" s="43">
        <f>(EN124*(10^-3)*$DW$35*$ED$124/(0.1))+EI123</f>
        <v>6.6445095557700774E-3</v>
      </c>
      <c r="EJ124" s="43">
        <f>(EO124*(10^-3)*$DW$35*$ED$124/(0.1))+EJ123</f>
        <v>9.0422274630896256E-3</v>
      </c>
      <c r="EK124" s="43">
        <f>(EP124*(10^-3)*$DW$35*$ED$124/(0.1))+EK123</f>
        <v>1.9190508484838872E-2</v>
      </c>
      <c r="EL124" s="44">
        <v>3.3101279913011372E-2</v>
      </c>
      <c r="EM124" s="44">
        <v>0.13185112333548638</v>
      </c>
      <c r="EN124" s="44">
        <v>5.2917579306773224E-2</v>
      </c>
      <c r="EO124" s="44">
        <v>-2.6547951539323759E-2</v>
      </c>
      <c r="EP124" s="44">
        <v>0.1711200669187033</v>
      </c>
      <c r="EQ124" s="45">
        <f t="shared" si="155"/>
        <v>7.0315846441959115E-3</v>
      </c>
      <c r="ER124" s="45">
        <f t="shared" si="116"/>
        <v>6.6263291402340685E-3</v>
      </c>
      <c r="ES124" s="45">
        <f t="shared" si="117"/>
        <v>2.8640127395560678E-3</v>
      </c>
      <c r="ET124" s="45">
        <f t="shared" si="118"/>
        <v>3.897511837538632E-3</v>
      </c>
      <c r="EU124" s="45">
        <f t="shared" si="119"/>
        <v>8.2717708986374452E-3</v>
      </c>
      <c r="EV124" s="7">
        <f t="shared" si="156"/>
        <v>2.0263111319223847E-3</v>
      </c>
    </row>
    <row r="125" spans="1:152" x14ac:dyDescent="0.3">
      <c r="A125" s="6">
        <f t="shared" si="120"/>
        <v>3.8707165168497548</v>
      </c>
      <c r="B125" s="6">
        <f t="shared" si="121"/>
        <v>8.7950841100880597E-2</v>
      </c>
      <c r="C125" s="9">
        <f t="shared" si="122"/>
        <v>0.87950841100880595</v>
      </c>
      <c r="D125" s="6">
        <v>5.0053398170198493</v>
      </c>
      <c r="E125" s="6"/>
      <c r="F125" s="6">
        <f t="shared" si="123"/>
        <v>2</v>
      </c>
      <c r="G125" s="7">
        <v>120</v>
      </c>
      <c r="H125" s="6">
        <f t="shared" si="124"/>
        <v>7200</v>
      </c>
      <c r="I125" s="6">
        <f t="shared" si="125"/>
        <v>1800</v>
      </c>
      <c r="J125" s="6">
        <f t="shared" si="126"/>
        <v>0.37909845302103706</v>
      </c>
      <c r="M125" s="43">
        <f>(R125*(10^-3)*$B$35*$I$125/(0.1))+M124</f>
        <v>0.9067694171756957</v>
      </c>
      <c r="N125" s="43">
        <f>(S125*(10^-3)*$B$35*$I$125/(0.1))+N124</f>
        <v>0.82841257686865433</v>
      </c>
      <c r="O125" s="43">
        <f>(T125*(10^-3)*$B$35*$I$125/(0.1))+O124</f>
        <v>0.80872633763417157</v>
      </c>
      <c r="P125" s="43">
        <f>(U125*(10^-3)*$B$35*$I$125/(0.1))+P124</f>
        <v>0.80854603977706341</v>
      </c>
      <c r="Q125" s="43">
        <f>(V125*(10^-3)*$B$35*$I$125/(0.1))+Q124</f>
        <v>0.80285764599620757</v>
      </c>
      <c r="R125" s="44">
        <v>5.0597764223744406</v>
      </c>
      <c r="S125" s="44">
        <v>5.0103016567979068</v>
      </c>
      <c r="T125" s="44">
        <v>5.1089914778954526</v>
      </c>
      <c r="U125" s="44">
        <v>4.8854649309075953</v>
      </c>
      <c r="V125" s="44">
        <v>4.9605651199749419</v>
      </c>
      <c r="W125" s="45">
        <f t="shared" si="127"/>
        <v>0.39084888671366197</v>
      </c>
      <c r="X125" s="45">
        <f t="shared" si="98"/>
        <v>0.35707438658131657</v>
      </c>
      <c r="Y125" s="45">
        <f t="shared" si="98"/>
        <v>0.34858893863541879</v>
      </c>
      <c r="Z125" s="45">
        <f t="shared" si="98"/>
        <v>0.34851122404183771</v>
      </c>
      <c r="AA125" s="45">
        <f t="shared" si="98"/>
        <v>0.34605933017077917</v>
      </c>
      <c r="AB125" s="7">
        <f t="shared" si="157"/>
        <v>1.6738316421828867E-2</v>
      </c>
      <c r="AF125" s="6">
        <f t="shared" si="99"/>
        <v>2.9791729416768145</v>
      </c>
      <c r="AG125" s="6">
        <f t="shared" si="128"/>
        <v>6.7693091153756296E-2</v>
      </c>
      <c r="AH125" s="9">
        <f t="shared" si="129"/>
        <v>0.67693091153756291</v>
      </c>
      <c r="AI125" s="6">
        <v>4.1340068663012666</v>
      </c>
      <c r="AJ125" s="6"/>
      <c r="AK125" s="6">
        <f t="shared" si="130"/>
        <v>2</v>
      </c>
      <c r="AL125" s="7">
        <v>120</v>
      </c>
      <c r="AM125" s="6">
        <f t="shared" si="131"/>
        <v>7200</v>
      </c>
      <c r="AN125" s="6">
        <f t="shared" si="132"/>
        <v>1800</v>
      </c>
      <c r="AO125" s="6">
        <f t="shared" si="100"/>
        <v>0.29178056531791507</v>
      </c>
      <c r="AU125" s="43">
        <f>(AZ125*(10^-3)*$AF$35*$AN$125/(0.1))+AU124</f>
        <v>0.6914213706573622</v>
      </c>
      <c r="AV125" s="43">
        <f>(BA125*(10^-3)*$AF$35*$AN$125/(0.1))+AV124</f>
        <v>0.6970992147030115</v>
      </c>
      <c r="AW125" s="43">
        <f>(BB125*(10^-3)*$AF$35*$AN$125/(0.1))+AW124</f>
        <v>0.67264027146099015</v>
      </c>
      <c r="AX125" s="43">
        <f>(BC125*(10^-3)*$AF$35*$AN$125/(0.1))+AX124</f>
        <v>0.65741582353693873</v>
      </c>
      <c r="AY125" s="43">
        <f>(BD125*(10^-3)*$AF$35*$AN$125/(0.1))+AY124</f>
        <v>0.66300863796007703</v>
      </c>
      <c r="AZ125" s="44">
        <v>4.5478951146186697</v>
      </c>
      <c r="BA125" s="44">
        <v>5.1517709782754304</v>
      </c>
      <c r="BB125" s="44">
        <v>3.903704867852698</v>
      </c>
      <c r="BC125" s="44">
        <v>3.2446670848675612</v>
      </c>
      <c r="BD125" s="44">
        <v>3.7076354932371896</v>
      </c>
      <c r="BE125" s="45">
        <f t="shared" si="133"/>
        <v>0.2980264528695527</v>
      </c>
      <c r="BF125" s="45">
        <f t="shared" si="101"/>
        <v>0.30047379944095326</v>
      </c>
      <c r="BG125" s="45">
        <f t="shared" si="102"/>
        <v>0.28993115149180609</v>
      </c>
      <c r="BH125" s="45">
        <f t="shared" si="103"/>
        <v>0.28336888945557703</v>
      </c>
      <c r="BI125" s="45">
        <f t="shared" si="104"/>
        <v>0.28577958532761943</v>
      </c>
      <c r="BJ125" s="7">
        <f t="shared" si="134"/>
        <v>6.6995787285252005E-3</v>
      </c>
      <c r="BM125" s="6">
        <f t="shared" si="105"/>
        <v>0.81454720875525077</v>
      </c>
      <c r="BN125" s="6">
        <f t="shared" si="135"/>
        <v>1.8508230146676911E-2</v>
      </c>
      <c r="BO125" s="9">
        <f t="shared" si="159"/>
        <v>0.1850823014667691</v>
      </c>
      <c r="BP125" s="6">
        <v>1.1179186038958591</v>
      </c>
      <c r="BQ125" s="6"/>
      <c r="BR125" s="6">
        <f t="shared" si="136"/>
        <v>2</v>
      </c>
      <c r="BS125" s="7">
        <v>120</v>
      </c>
      <c r="BT125" s="6">
        <f t="shared" si="137"/>
        <v>7200</v>
      </c>
      <c r="BU125" s="6">
        <f t="shared" si="158"/>
        <v>1800</v>
      </c>
      <c r="BV125" s="6">
        <f t="shared" si="138"/>
        <v>7.9776854080503931E-2</v>
      </c>
      <c r="BX125" s="43">
        <f>(CC125*(10^-3)*$BI$35*$BU$125/(0.1))+BX124</f>
        <v>0.19369233259179702</v>
      </c>
      <c r="BY125" s="43">
        <f>(CD125*(10^-3)*$BI$35*$BU$125/(0.1))+BY124</f>
        <v>0.1707979760947213</v>
      </c>
      <c r="BZ125" s="43">
        <f>(CE125*(10^-3)*$BI$35*$BU$125/(0.1))+BZ124</f>
        <v>0.2004900293327857</v>
      </c>
      <c r="CA125" s="43">
        <f>(CF125*(10^-3)*$BI$35*$BU$125/(0.1))+CA124</f>
        <v>0.17208005212716759</v>
      </c>
      <c r="CB125" s="43">
        <f>(CG125*(10^-3)*$BI$35*$BU$125/(0.1))+CB124</f>
        <v>0.18662839468182754</v>
      </c>
      <c r="CC125" s="44">
        <v>0.85441959216308794</v>
      </c>
      <c r="CD125" s="44">
        <v>0.6360861782745455</v>
      </c>
      <c r="CE125" s="44">
        <v>1.3477170095964222</v>
      </c>
      <c r="CF125" s="44">
        <v>1.2438619686877495</v>
      </c>
      <c r="CG125" s="44">
        <v>1.4846639191830895</v>
      </c>
      <c r="CH125" s="45">
        <f t="shared" si="139"/>
        <v>8.3488074393015962E-2</v>
      </c>
      <c r="CI125" s="45">
        <f t="shared" si="106"/>
        <v>7.361981728220747E-2</v>
      </c>
      <c r="CJ125" s="45">
        <f t="shared" si="107"/>
        <v>8.6418116091717984E-2</v>
      </c>
      <c r="CK125" s="45">
        <f t="shared" si="108"/>
        <v>7.4172436261710176E-2</v>
      </c>
      <c r="CL125" s="45">
        <f t="shared" si="109"/>
        <v>8.0443273569753254E-2</v>
      </c>
      <c r="CM125" s="7">
        <f t="shared" si="140"/>
        <v>5.050385263226125E-3</v>
      </c>
      <c r="CP125" s="6">
        <f t="shared" si="110"/>
        <v>6.8537154733264716E-2</v>
      </c>
      <c r="CQ125" s="6">
        <f t="shared" si="141"/>
        <v>1.5573086737847017E-3</v>
      </c>
      <c r="CR125" s="9">
        <f t="shared" si="142"/>
        <v>1.5573086737847016E-2</v>
      </c>
      <c r="CS125" s="6">
        <v>7.1569225790620999E-2</v>
      </c>
      <c r="CT125" s="6"/>
      <c r="CU125" s="6">
        <f t="shared" si="143"/>
        <v>2</v>
      </c>
      <c r="CV125" s="7">
        <v>120</v>
      </c>
      <c r="CW125" s="6">
        <f t="shared" si="144"/>
        <v>7200</v>
      </c>
      <c r="CX125" s="6">
        <f t="shared" si="145"/>
        <v>1800</v>
      </c>
      <c r="CY125" s="6">
        <f t="shared" si="146"/>
        <v>6.7125373870030244E-3</v>
      </c>
      <c r="DA125" s="43">
        <f>(DF125*(10^-3)*$CK$35*$CX$125/(0.1))+DA124</f>
        <v>1.8179564659969106E-2</v>
      </c>
      <c r="DB125" s="43">
        <f>(DG125*(10^-3)*$CK$35*$CX$125/(0.1))+DB124</f>
        <v>7.71377911313831E-3</v>
      </c>
      <c r="DC125" s="43">
        <f>(DH125*(10^-3)*$CK$35*$CX$125/(0.1))+DC124</f>
        <v>1.6276803559581991E-2</v>
      </c>
      <c r="DD125" s="43">
        <f>(DI125*(10^-3)*$CK$35*$CX$125/(0.1))+DD124</f>
        <v>1.9876687598732512E-2</v>
      </c>
      <c r="DE125" s="43">
        <f>(DJ125*(10^-3)*$CK$35*$CX$125/(0.1))+DE124</f>
        <v>1.8906212590385212E-2</v>
      </c>
      <c r="DF125" s="44">
        <v>9.1011753409581134E-2</v>
      </c>
      <c r="DG125" s="44">
        <v>9.1011753409581134E-2</v>
      </c>
      <c r="DH125" s="44">
        <v>5.2094049090863744E-2</v>
      </c>
      <c r="DI125" s="44">
        <v>0.1877375168561585</v>
      </c>
      <c r="DJ125" s="44">
        <v>-6.544727053504569E-2</v>
      </c>
      <c r="DK125" s="45">
        <f t="shared" si="147"/>
        <v>7.8360192499866838E-3</v>
      </c>
      <c r="DL125" s="45">
        <f t="shared" si="111"/>
        <v>3.3249047901458234E-3</v>
      </c>
      <c r="DM125" s="45">
        <f t="shared" si="112"/>
        <v>7.0158636032681002E-3</v>
      </c>
      <c r="DN125" s="45">
        <f t="shared" si="113"/>
        <v>8.5675377580743586E-3</v>
      </c>
      <c r="DO125" s="45">
        <f t="shared" si="114"/>
        <v>8.1492295648212133E-3</v>
      </c>
      <c r="DP125" s="7">
        <f t="shared" si="148"/>
        <v>1.8963724185063417E-3</v>
      </c>
      <c r="DV125" s="6">
        <f t="shared" si="115"/>
        <v>6.4757907699098019E-2</v>
      </c>
      <c r="DW125" s="6">
        <f t="shared" si="149"/>
        <v>1.4714362122039996E-3</v>
      </c>
      <c r="DX125" s="9">
        <f t="shared" si="150"/>
        <v>1.4714362122039996E-2</v>
      </c>
      <c r="DY125" s="6">
        <v>5.2845814493338653E-2</v>
      </c>
      <c r="DZ125" s="6"/>
      <c r="EA125" s="6">
        <f t="shared" si="151"/>
        <v>2</v>
      </c>
      <c r="EB125" s="7">
        <v>120</v>
      </c>
      <c r="EC125" s="6">
        <f t="shared" si="152"/>
        <v>7200</v>
      </c>
      <c r="ED125" s="6">
        <f t="shared" si="153"/>
        <v>1800</v>
      </c>
      <c r="EE125" s="6">
        <f t="shared" si="154"/>
        <v>6.3423974663965503E-3</v>
      </c>
      <c r="EG125" s="43">
        <f>(EL125*(10^-3)*$DW$35*$ED$125/(0.1))+EG124</f>
        <v>1.4067254034738031E-2</v>
      </c>
      <c r="EH125" s="43">
        <f>(EM125*(10^-3)*$DW$35*$ED$125/(0.1))+EH124</f>
        <v>1.8796695385605914E-2</v>
      </c>
      <c r="EI125" s="43">
        <f>(EN125*(10^-3)*$DW$35*$ED$125/(0.1))+EI124</f>
        <v>6.9885983764106721E-3</v>
      </c>
      <c r="EJ125" s="43">
        <f>(EO125*(10^-3)*$DW$35*$ED$125/(0.1))+EJ124</f>
        <v>1.2976089075987903E-2</v>
      </c>
      <c r="EK125" s="43">
        <f>(EP125*(10^-3)*$DW$35*$ED$125/(0.1))+EK124</f>
        <v>2.0564552507480169E-2</v>
      </c>
      <c r="EL125" s="44">
        <v>-8.6382152217087088E-2</v>
      </c>
      <c r="EM125" s="44">
        <v>0.13167231184427042</v>
      </c>
      <c r="EN125" s="44">
        <v>1.3233676421698964E-2</v>
      </c>
      <c r="EO125" s="44">
        <v>0.15129655062875572</v>
      </c>
      <c r="EP125" s="44">
        <v>5.2845814493338653E-2</v>
      </c>
      <c r="EQ125" s="45">
        <f t="shared" si="155"/>
        <v>6.0634715666974277E-3</v>
      </c>
      <c r="ER125" s="45">
        <f t="shared" si="116"/>
        <v>8.1020238731059971E-3</v>
      </c>
      <c r="ES125" s="45">
        <f t="shared" si="117"/>
        <v>3.0123268863839108E-3</v>
      </c>
      <c r="ET125" s="45">
        <f t="shared" si="118"/>
        <v>5.5931418430982347E-3</v>
      </c>
      <c r="EU125" s="45">
        <f t="shared" si="119"/>
        <v>8.8640312532242121E-3</v>
      </c>
      <c r="EV125" s="7">
        <f t="shared" si="156"/>
        <v>2.0582657850563412E-3</v>
      </c>
    </row>
    <row r="126" spans="1:152" x14ac:dyDescent="0.3">
      <c r="A126" s="6">
        <f t="shared" si="120"/>
        <v>5.6106486113910146</v>
      </c>
      <c r="B126" s="6">
        <f t="shared" si="121"/>
        <v>0.12748576712999352</v>
      </c>
      <c r="C126" s="9">
        <f t="shared" si="122"/>
        <v>1.2748576712999351</v>
      </c>
      <c r="D126" s="6">
        <v>3.8012889916842547</v>
      </c>
      <c r="E126" s="6"/>
      <c r="F126" s="6">
        <f t="shared" si="123"/>
        <v>4</v>
      </c>
      <c r="G126" s="7">
        <v>240</v>
      </c>
      <c r="H126" s="6">
        <f t="shared" si="124"/>
        <v>14400</v>
      </c>
      <c r="I126" s="6">
        <f t="shared" si="125"/>
        <v>7200</v>
      </c>
      <c r="J126" s="6">
        <f t="shared" si="126"/>
        <v>0.54950761693962724</v>
      </c>
      <c r="M126" s="43">
        <f>(R126*(10^-3)*$B$35*$I$126/(0.1))+M125</f>
        <v>1.30445366775064</v>
      </c>
      <c r="N126" s="43">
        <f>(S126*(10^-3)*$B$35*$I$126/(0.1))+N125</f>
        <v>1.2376936201920892</v>
      </c>
      <c r="O126" s="43">
        <f>(T126*(10^-3)*$B$35*$I$126/(0.1))+O125</f>
        <v>1.185799999397263</v>
      </c>
      <c r="P126" s="43">
        <f>(U126*(10^-3)*$B$35*$I$126/(0.1))+P125</f>
        <v>1.2120449060168101</v>
      </c>
      <c r="Q126" s="43">
        <f>(V126*(10^-3)*$B$35*$I$126/(0.1))+Q125</f>
        <v>1.1917585510774895</v>
      </c>
      <c r="R126" s="44">
        <v>3.8237399578376241</v>
      </c>
      <c r="S126" s="44">
        <v>3.9352432918294964</v>
      </c>
      <c r="T126" s="44">
        <v>3.6255688412281395</v>
      </c>
      <c r="U126" s="44">
        <v>3.8796475735524267</v>
      </c>
      <c r="V126" s="44">
        <v>3.7392879608599863</v>
      </c>
      <c r="W126" s="45">
        <f t="shared" si="127"/>
        <v>0.56226451196148275</v>
      </c>
      <c r="X126" s="45">
        <f t="shared" si="98"/>
        <v>0.5334886293931419</v>
      </c>
      <c r="Y126" s="45">
        <f t="shared" si="98"/>
        <v>0.51112068939537203</v>
      </c>
      <c r="Z126" s="45">
        <f t="shared" si="98"/>
        <v>0.5224331491451768</v>
      </c>
      <c r="AA126" s="45">
        <f t="shared" si="98"/>
        <v>0.51368903063684901</v>
      </c>
      <c r="AB126" s="7">
        <f t="shared" si="157"/>
        <v>1.8563897305213989E-2</v>
      </c>
      <c r="AF126" s="6">
        <f t="shared" si="99"/>
        <v>3.927159462359759</v>
      </c>
      <c r="AG126" s="6">
        <f t="shared" si="128"/>
        <v>8.9233343839122001E-2</v>
      </c>
      <c r="AH126" s="9">
        <f t="shared" si="129"/>
        <v>0.89233343839121992</v>
      </c>
      <c r="AI126" s="6">
        <v>2.0710984851895793</v>
      </c>
      <c r="AJ126" s="6"/>
      <c r="AK126" s="6">
        <f t="shared" si="130"/>
        <v>4</v>
      </c>
      <c r="AL126" s="7">
        <v>240</v>
      </c>
      <c r="AM126" s="6">
        <f t="shared" si="131"/>
        <v>14400</v>
      </c>
      <c r="AN126" s="6">
        <f t="shared" si="132"/>
        <v>7200</v>
      </c>
      <c r="AO126" s="6">
        <f t="shared" si="100"/>
        <v>0.38462648206518102</v>
      </c>
      <c r="AU126" s="43">
        <f>(AZ126*(10^-3)*$AF$35*AN126/(0.1))+AU125</f>
        <v>0.90624698882026822</v>
      </c>
      <c r="AV126" s="43">
        <f>(BA126*(10^-3)*$AF$35*$AN$126/(0.1))+AV125</f>
        <v>0.7486653109275011</v>
      </c>
      <c r="AW126" s="43">
        <f>(BB126*(10^-3)*$AF$35*$AN$126/(0.1))+AW125</f>
        <v>0.8805201200514049</v>
      </c>
      <c r="AX126" s="43">
        <f>(BC126*(10^-3)*$AF$35*$AN$126/(0.1))+AX125</f>
        <v>0.86529567212735348</v>
      </c>
      <c r="AY126" s="43">
        <f>(BD126*(10^-3)*$AF$35*$AN$126/(0.1))+AY125</f>
        <v>0.89159989007933993</v>
      </c>
      <c r="AZ126" s="44">
        <v>2.0655514995856508</v>
      </c>
      <c r="BA126" s="44">
        <v>0.49580877874398677</v>
      </c>
      <c r="BB126" s="44">
        <v>1.998767822299284</v>
      </c>
      <c r="BC126" s="44">
        <v>1.998767822299284</v>
      </c>
      <c r="BD126" s="44">
        <v>2.1979082739054547</v>
      </c>
      <c r="BE126" s="45">
        <f t="shared" si="133"/>
        <v>0.39062370207770186</v>
      </c>
      <c r="BF126" s="45">
        <f t="shared" si="101"/>
        <v>0.32270056505495742</v>
      </c>
      <c r="BG126" s="45">
        <f t="shared" si="102"/>
        <v>0.37953453450491592</v>
      </c>
      <c r="BH126" s="45">
        <f t="shared" si="103"/>
        <v>0.37297227246868686</v>
      </c>
      <c r="BI126" s="45">
        <f t="shared" si="104"/>
        <v>0.38431029744799139</v>
      </c>
      <c r="BJ126" s="7">
        <f t="shared" si="134"/>
        <v>2.4360197048588848E-2</v>
      </c>
      <c r="BM126" s="6">
        <f t="shared" si="105"/>
        <v>1.2390812907336977</v>
      </c>
      <c r="BN126" s="6">
        <f t="shared" si="135"/>
        <v>2.8154539666750689E-2</v>
      </c>
      <c r="BO126" s="9">
        <f t="shared" si="159"/>
        <v>0.28154539666750689</v>
      </c>
      <c r="BP126" s="6">
        <v>0.92749408869599015</v>
      </c>
      <c r="BQ126" s="6"/>
      <c r="BR126" s="6">
        <f t="shared" si="136"/>
        <v>4</v>
      </c>
      <c r="BS126" s="7">
        <v>240</v>
      </c>
      <c r="BT126" s="6">
        <f t="shared" si="137"/>
        <v>14400</v>
      </c>
      <c r="BU126" s="6">
        <f t="shared" si="158"/>
        <v>7200</v>
      </c>
      <c r="BV126" s="6">
        <f t="shared" si="138"/>
        <v>0.12135577442564953</v>
      </c>
      <c r="BX126" s="43">
        <f>(CC126*(10^-3)*$BI$35*$BU$126/(0.1))+BX125</f>
        <v>0.27514409219410096</v>
      </c>
      <c r="BY126" s="43">
        <f>(CD126*(10^-3)*$BI$35*$BU$126/(0.1))+BY125</f>
        <v>0.27098364040555434</v>
      </c>
      <c r="BZ126" s="43">
        <f>(CE126*(10^-3)*$BI$35*$BU$126/(0.1))+BZ125</f>
        <v>0.3264011991524613</v>
      </c>
      <c r="CA126" s="43">
        <f>(CF126*(10^-3)*$BI$35*$BU$126/(0.1))+CA125</f>
        <v>0.2759762965976611</v>
      </c>
      <c r="CB126" s="43">
        <f>(CG126*(10^-3)*$BI$35*$BU$126/(0.1))+CB125</f>
        <v>0.25669287887306408</v>
      </c>
      <c r="CC126" s="44">
        <v>0.7831598746423597</v>
      </c>
      <c r="CD126" s="44">
        <v>0.96328664581009393</v>
      </c>
      <c r="CE126" s="44">
        <v>1.2106377621983346</v>
      </c>
      <c r="CF126" s="44">
        <v>0.99896392898824582</v>
      </c>
      <c r="CG126" s="44">
        <v>0.67367105295216101</v>
      </c>
      <c r="CH126" s="45">
        <f t="shared" si="139"/>
        <v>0.11859659146297456</v>
      </c>
      <c r="CI126" s="45">
        <f t="shared" si="106"/>
        <v>0.11680329327825618</v>
      </c>
      <c r="CJ126" s="45">
        <f t="shared" si="107"/>
        <v>0.1406901720484747</v>
      </c>
      <c r="CK126" s="45">
        <f t="shared" si="108"/>
        <v>0.11895530025761256</v>
      </c>
      <c r="CL126" s="45">
        <f t="shared" si="109"/>
        <v>0.11064348227287246</v>
      </c>
      <c r="CM126" s="7">
        <f t="shared" si="140"/>
        <v>1.0221887807540532E-2</v>
      </c>
      <c r="CP126" s="6">
        <f t="shared" si="110"/>
        <v>9.5264965984048974E-2</v>
      </c>
      <c r="CQ126" s="6">
        <f t="shared" si="141"/>
        <v>2.1646209039774818E-3</v>
      </c>
      <c r="CR126" s="9">
        <f t="shared" si="142"/>
        <v>2.1646209039774818E-2</v>
      </c>
      <c r="CS126" s="6">
        <v>5.8393160858503539E-2</v>
      </c>
      <c r="CT126" s="6"/>
      <c r="CU126" s="6">
        <f t="shared" si="143"/>
        <v>4</v>
      </c>
      <c r="CV126" s="7">
        <v>240</v>
      </c>
      <c r="CW126" s="6">
        <f t="shared" si="144"/>
        <v>14400</v>
      </c>
      <c r="CX126" s="6">
        <f t="shared" si="145"/>
        <v>7200</v>
      </c>
      <c r="CY126" s="6">
        <f t="shared" si="146"/>
        <v>9.3302625171443193E-3</v>
      </c>
      <c r="DA126" s="43">
        <f>(DF126*(10^-3)*$CK$35*$CX$126/(0.1))+DA125</f>
        <v>3.5641083171815455E-2</v>
      </c>
      <c r="DB126" s="43">
        <f>(DG126*(10^-3)*$CK$35*$CX$126/(0.1))+DB125</f>
        <v>9.2980064553678868E-4</v>
      </c>
      <c r="DC126" s="43">
        <f>(DH126*(10^-3)*$CK$35*$CX$126/(0.1))+DC125</f>
        <v>3.1736446798250877E-2</v>
      </c>
      <c r="DD126" s="43">
        <f>(DI126*(10^-3)*$CK$35*$CX$126/(0.1))+DD125</f>
        <v>2.9310568803888416E-2</v>
      </c>
      <c r="DE126" s="43">
        <f>(DJ126*(10^-3)*$CK$35*$CX$126/(0.1))+DE125</f>
        <v>2.8340093795541116E-2</v>
      </c>
      <c r="DF126" s="44">
        <v>0.16789275904625153</v>
      </c>
      <c r="DG126" s="44">
        <v>-6.5228053417190901E-2</v>
      </c>
      <c r="DH126" s="44">
        <v>0.14864469865263724</v>
      </c>
      <c r="DI126" s="44">
        <v>9.0706907476211532E-2</v>
      </c>
      <c r="DJ126" s="44">
        <v>9.0706907476211532E-2</v>
      </c>
      <c r="DK126" s="45">
        <f t="shared" si="147"/>
        <v>1.5362535849920455E-2</v>
      </c>
      <c r="DL126" s="45">
        <f t="shared" si="111"/>
        <v>4.0077614031758138E-4</v>
      </c>
      <c r="DM126" s="45">
        <f t="shared" si="112"/>
        <v>1.3679502930280552E-2</v>
      </c>
      <c r="DN126" s="45">
        <f t="shared" si="113"/>
        <v>1.2633865863745007E-2</v>
      </c>
      <c r="DO126" s="45">
        <f t="shared" si="114"/>
        <v>1.2215557670491862E-2</v>
      </c>
      <c r="DP126" s="7">
        <f t="shared" si="148"/>
        <v>5.3404478136744602E-3</v>
      </c>
      <c r="DV126" s="6">
        <f t="shared" si="115"/>
        <v>6.6268781696955964E-2</v>
      </c>
      <c r="DW126" s="6">
        <f t="shared" si="149"/>
        <v>1.5057664552818898E-3</v>
      </c>
      <c r="DX126" s="9">
        <f t="shared" si="150"/>
        <v>1.5057664552818898E-2</v>
      </c>
      <c r="DY126" s="6">
        <v>3.3008579552603967E-3</v>
      </c>
      <c r="DZ126" s="6"/>
      <c r="EA126" s="6">
        <f t="shared" si="151"/>
        <v>4</v>
      </c>
      <c r="EB126" s="7">
        <v>240</v>
      </c>
      <c r="EC126" s="6">
        <f t="shared" si="152"/>
        <v>14400</v>
      </c>
      <c r="ED126" s="6">
        <f t="shared" si="153"/>
        <v>7200</v>
      </c>
      <c r="EE126" s="6">
        <f t="shared" si="154"/>
        <v>6.4903726520771123E-3</v>
      </c>
      <c r="EG126" s="43">
        <f>(EL126*(10^-3)*$DW$35*$ED$126/(0.1))+EG125</f>
        <v>1.7495951000957605E-2</v>
      </c>
      <c r="EH126" s="43">
        <f>(EM126*(10^-3)*$DW$35*$ED$126/(0.1))+EH125</f>
        <v>3.5954614185281526E-3</v>
      </c>
      <c r="EI126" s="43">
        <f>(EN126*(10^-3)*$DW$35*$ED$126/(0.1))+EI125</f>
        <v>1.8607114226762388E-2</v>
      </c>
      <c r="EJ126" s="43">
        <f>(EO126*(10^-3)*$DW$35*$ED$126/(0.1))+EJ125</f>
        <v>1.0226199007041945E-2</v>
      </c>
      <c r="EK126" s="43">
        <f>(EP126*(10^-3)*$DW$35*$ED$126/(0.1))+EK125</f>
        <v>-5.109856918130963E-3</v>
      </c>
      <c r="EL126" s="44">
        <v>3.2966972099338215E-2</v>
      </c>
      <c r="EM126" s="44">
        <v>-0.14616008967999078</v>
      </c>
      <c r="EN126" s="44">
        <v>0.11171220193792274</v>
      </c>
      <c r="EO126" s="44">
        <v>-2.6440233730875329E-2</v>
      </c>
      <c r="EP126" s="44">
        <v>-0.2468598267913843</v>
      </c>
      <c r="EQ126" s="45">
        <f t="shared" si="155"/>
        <v>7.5413581900679334E-3</v>
      </c>
      <c r="ER126" s="45">
        <f t="shared" si="116"/>
        <v>1.5497678528138589E-3</v>
      </c>
      <c r="ES126" s="45">
        <f t="shared" si="117"/>
        <v>8.0203078563630993E-3</v>
      </c>
      <c r="ET126" s="45">
        <f t="shared" si="118"/>
        <v>4.4078443995870459E-3</v>
      </c>
      <c r="EU126" s="45">
        <f t="shared" si="119"/>
        <v>-2.2025245336771393E-3</v>
      </c>
      <c r="EV126" s="7">
        <f t="shared" si="156"/>
        <v>3.8275844400105881E-3</v>
      </c>
    </row>
    <row r="127" spans="1:152" x14ac:dyDescent="0.3">
      <c r="A127" s="6">
        <f t="shared" si="120"/>
        <v>6.9093302353198087</v>
      </c>
      <c r="B127" s="6">
        <f t="shared" si="121"/>
        <v>0.15699455204089546</v>
      </c>
      <c r="C127" s="9">
        <f t="shared" si="122"/>
        <v>1.5699455204089545</v>
      </c>
      <c r="D127" s="6">
        <v>2.8372740385852406</v>
      </c>
      <c r="E127" s="6"/>
      <c r="F127" s="6">
        <f t="shared" si="123"/>
        <v>6</v>
      </c>
      <c r="G127" s="7">
        <v>360</v>
      </c>
      <c r="H127" s="6">
        <f>G127*60</f>
        <v>21600</v>
      </c>
      <c r="I127" s="6">
        <f t="shared" si="125"/>
        <v>7200</v>
      </c>
      <c r="J127" s="6"/>
      <c r="K127" s="29" t="s">
        <v>158</v>
      </c>
      <c r="M127" s="43"/>
      <c r="N127" s="43"/>
      <c r="O127" s="43"/>
      <c r="P127" s="43"/>
      <c r="Q127" s="43"/>
      <c r="R127" s="44"/>
      <c r="S127" s="44"/>
      <c r="T127" s="44"/>
      <c r="U127" s="44"/>
      <c r="V127" s="44"/>
      <c r="W127" s="45"/>
      <c r="X127" s="45"/>
      <c r="Y127" s="45"/>
      <c r="Z127" s="45"/>
      <c r="AA127" s="45"/>
      <c r="AB127" s="6"/>
      <c r="AF127" s="6">
        <f t="shared" si="99"/>
        <v>4.8038411248018402</v>
      </c>
      <c r="AG127" s="6">
        <f t="shared" si="128"/>
        <v>0.10915339979099842</v>
      </c>
      <c r="AH127" s="9">
        <f t="shared" si="129"/>
        <v>1.0915339979099841</v>
      </c>
      <c r="AI127" s="6">
        <v>1.9153163293600632</v>
      </c>
      <c r="AJ127" s="6"/>
      <c r="AK127" s="6">
        <f t="shared" ref="AK127:AK136" si="160">AL127/60</f>
        <v>6</v>
      </c>
      <c r="AL127" s="7">
        <v>360</v>
      </c>
      <c r="AM127" s="6">
        <f t="shared" ref="AM127:AM136" si="161">AL127*60</f>
        <v>21600</v>
      </c>
      <c r="AN127" s="6">
        <f t="shared" si="132"/>
        <v>7200</v>
      </c>
      <c r="AO127" s="6">
        <f t="shared" si="100"/>
        <v>0.47048879220257939</v>
      </c>
      <c r="AP127" s="30"/>
      <c r="AU127" s="43">
        <f>(AZ127*(10^-3)*$AF$35*$AN$127/(0.1))+AU126</f>
        <v>1.1005109877189971</v>
      </c>
      <c r="AV127" s="43">
        <f>(BA127*(10^-3)*$AF$35*$AN$127/(0.1))+AV126</f>
        <v>0.96740236528245716</v>
      </c>
      <c r="AW127" s="43">
        <f>(BB127*(10^-3)*$AF$35*$AN$127/(0.1))+AW126</f>
        <v>1.071245004720234</v>
      </c>
      <c r="AX127" s="43">
        <f>(BC127*(10^-3)*$AF$35*$AN$127/(0.1))+AX126</f>
        <v>1.0630879457024456</v>
      </c>
      <c r="AY127" s="43">
        <f>(BD127*(10^-3)*$AF$35*$AN$127/(0.1))+AY126</f>
        <v>1.0858638889780687</v>
      </c>
      <c r="AZ127" s="44">
        <v>1.8678512259021662</v>
      </c>
      <c r="BA127" s="44">
        <v>2.1031600164893285</v>
      </c>
      <c r="BB127" s="44">
        <v>1.8338225901775804</v>
      </c>
      <c r="BC127" s="44">
        <v>1.9017756391589955</v>
      </c>
      <c r="BD127" s="44">
        <v>1.8678512259021662</v>
      </c>
      <c r="BE127" s="45">
        <f t="shared" ref="BE127:BE133" si="162">AU127/2.32</f>
        <v>0.47435818436163674</v>
      </c>
      <c r="BF127" s="45">
        <f t="shared" ref="BF127:BF133" si="163">AV127/2.32</f>
        <v>0.41698377813899018</v>
      </c>
      <c r="BG127" s="45">
        <f t="shared" ref="BG127:BG133" si="164">AW127/2.32</f>
        <v>0.46174353651734229</v>
      </c>
      <c r="BH127" s="45">
        <f t="shared" ref="BH127:BH133" si="165">AX127/2.32</f>
        <v>0.45822756280277832</v>
      </c>
      <c r="BI127" s="45">
        <f t="shared" ref="BI127:BI133" si="166">AY127/2.32</f>
        <v>0.46804477973192621</v>
      </c>
      <c r="BJ127" s="7">
        <f t="shared" ref="BJ127:BJ136" si="167">_xlfn.STDEV.P(BE127:BI127)</f>
        <v>2.0210061822894438E-2</v>
      </c>
      <c r="BM127" s="6">
        <f t="shared" si="105"/>
        <v>1.480086686260655</v>
      </c>
      <c r="BN127" s="6">
        <f t="shared" si="135"/>
        <v>3.3630690439914908E-2</v>
      </c>
      <c r="BO127" s="9">
        <f t="shared" si="159"/>
        <v>0.33630690439914906</v>
      </c>
      <c r="BP127" s="6">
        <v>0.52653270770010951</v>
      </c>
      <c r="BQ127" s="6"/>
      <c r="BR127" s="6">
        <f t="shared" si="136"/>
        <v>6</v>
      </c>
      <c r="BS127" s="7">
        <v>360</v>
      </c>
      <c r="BT127" s="6">
        <f t="shared" si="137"/>
        <v>21600</v>
      </c>
      <c r="BU127" s="6">
        <f t="shared" si="158"/>
        <v>7200</v>
      </c>
      <c r="BV127" s="6">
        <f t="shared" si="138"/>
        <v>0.14495987258584012</v>
      </c>
      <c r="BX127" s="43">
        <f>(CC127*(10^-3)*$BI$35*$BU$127/(0.1))+BX126</f>
        <v>0.31040223571633757</v>
      </c>
      <c r="BY127" s="43">
        <f>(CD127*(10^-3)*$BI$35*$BU$127/(0.1))+BY126</f>
        <v>0.31408181397031543</v>
      </c>
      <c r="BZ127" s="43">
        <f>(CE127*(10^-3)*$BI$35*$BU$127/(0.1))+BZ126</f>
        <v>0.40034790854523167</v>
      </c>
      <c r="CA127" s="43">
        <f>(CF127*(10^-3)*$BI$35*$BU$127/(0.1))+CA126</f>
        <v>0.33460004689688022</v>
      </c>
      <c r="CB127" s="43">
        <f>(CG127*(10^-3)*$BI$35*$BU$127/(0.1))+CB126</f>
        <v>0.31916620864947448</v>
      </c>
      <c r="CC127" s="44">
        <v>0.33900757203796605</v>
      </c>
      <c r="CD127" s="44">
        <v>0.41438957698512657</v>
      </c>
      <c r="CE127" s="44">
        <v>0.71099870574949409</v>
      </c>
      <c r="CF127" s="44">
        <v>0.56366822717606158</v>
      </c>
      <c r="CG127" s="44">
        <v>0.60068199085045182</v>
      </c>
      <c r="CH127" s="45">
        <f t="shared" si="139"/>
        <v>0.13379406711911104</v>
      </c>
      <c r="CI127" s="45">
        <f t="shared" si="106"/>
        <v>0.13538009222858424</v>
      </c>
      <c r="CJ127" s="45">
        <f t="shared" si="107"/>
        <v>0.17256375368328952</v>
      </c>
      <c r="CK127" s="45">
        <f t="shared" si="108"/>
        <v>0.144224158145207</v>
      </c>
      <c r="CL127" s="45">
        <f t="shared" si="109"/>
        <v>0.13757164165925626</v>
      </c>
      <c r="CM127" s="7">
        <f t="shared" si="140"/>
        <v>1.4375176610998212E-2</v>
      </c>
      <c r="CP127" s="6"/>
      <c r="CQ127" s="6"/>
      <c r="CR127" s="9"/>
      <c r="CS127" s="6"/>
      <c r="CT127" s="6"/>
      <c r="CU127" s="6"/>
      <c r="CV127" s="7"/>
      <c r="CW127" s="6"/>
      <c r="CX127" s="6"/>
      <c r="CY127" s="6"/>
      <c r="DA127" s="43"/>
      <c r="DB127" s="43"/>
      <c r="DC127" s="43"/>
      <c r="DD127" s="43"/>
      <c r="DE127" s="43"/>
      <c r="DF127" s="44"/>
      <c r="DG127" s="44"/>
      <c r="DH127" s="44"/>
      <c r="DI127" s="44"/>
      <c r="DJ127" s="44"/>
      <c r="DK127" s="45"/>
      <c r="DL127" s="45"/>
      <c r="DM127" s="45"/>
      <c r="DN127" s="45"/>
      <c r="DO127" s="45"/>
      <c r="DP127" s="7"/>
      <c r="DV127" s="6"/>
      <c r="DW127" s="6"/>
      <c r="DX127" s="9"/>
      <c r="DY127" s="6"/>
      <c r="DZ127" s="6"/>
      <c r="EA127" s="6"/>
      <c r="EB127" s="7"/>
      <c r="EC127" s="6"/>
      <c r="ED127" s="6"/>
      <c r="EE127" s="6"/>
      <c r="EG127" s="43"/>
      <c r="EH127" s="43"/>
      <c r="EI127" s="43"/>
      <c r="EJ127" s="43"/>
      <c r="EK127" s="43"/>
      <c r="EL127" s="44"/>
      <c r="EM127" s="44"/>
      <c r="EN127" s="44"/>
      <c r="EO127" s="44"/>
      <c r="EP127" s="44"/>
      <c r="EQ127" s="45"/>
      <c r="ER127" s="45"/>
      <c r="ES127" s="45"/>
      <c r="ET127" s="45"/>
      <c r="EU127" s="45"/>
      <c r="EV127" s="7"/>
    </row>
    <row r="128" spans="1:152" x14ac:dyDescent="0.3">
      <c r="A128" s="6"/>
      <c r="B128" s="6"/>
      <c r="C128" s="9"/>
      <c r="E128" s="6"/>
      <c r="F128" s="6"/>
      <c r="G128" s="21"/>
      <c r="H128" s="6"/>
      <c r="I128" s="6"/>
      <c r="J128" s="6"/>
      <c r="M128" s="43"/>
      <c r="N128" s="43"/>
      <c r="O128" s="43"/>
      <c r="P128" s="43"/>
      <c r="Q128" s="43"/>
      <c r="R128" s="44"/>
      <c r="S128" s="44"/>
      <c r="T128" s="44"/>
      <c r="U128" s="44"/>
      <c r="V128" s="44"/>
      <c r="W128" s="45"/>
      <c r="X128" s="45"/>
      <c r="Y128" s="45"/>
      <c r="Z128" s="45"/>
      <c r="AA128" s="45"/>
      <c r="AB128" s="6"/>
      <c r="AF128" s="6">
        <f t="shared" si="99"/>
        <v>7.4306226052158841</v>
      </c>
      <c r="AG128" s="6">
        <f t="shared" si="128"/>
        <v>0.16883941388811372</v>
      </c>
      <c r="AH128" s="9">
        <f t="shared" si="129"/>
        <v>1.688394138881137</v>
      </c>
      <c r="AI128">
        <v>0.95646984886983988</v>
      </c>
      <c r="AJ128" s="6"/>
      <c r="AK128" s="6">
        <f t="shared" si="160"/>
        <v>18</v>
      </c>
      <c r="AL128" s="7">
        <v>1080</v>
      </c>
      <c r="AM128" s="6">
        <f t="shared" si="161"/>
        <v>64800</v>
      </c>
      <c r="AN128" s="6">
        <f t="shared" si="132"/>
        <v>43200</v>
      </c>
      <c r="AO128" s="6">
        <f t="shared" si="100"/>
        <v>0.72775609434531774</v>
      </c>
      <c r="AU128" s="43">
        <f>(AZ128*(10^-3)*$AF$35*$AN$128/(0.1))+AU127</f>
        <v>1.6927662298261192</v>
      </c>
      <c r="AV128" s="43">
        <f>(BA128*(10^-3)*$AF$35*$AN$128/(0.1))+AV127</f>
        <v>1.5365889060403313</v>
      </c>
      <c r="AW128" s="43">
        <f>(BB128*(10^-3)*$AF$35*$AN$128/(0.1))+AW127</f>
        <v>1.7550427124989727</v>
      </c>
      <c r="AX128" s="43">
        <f>(BC128*(10^-3)*$AF$35*$AN$128/(0.1))+AX127</f>
        <v>1.5158147522294374</v>
      </c>
      <c r="AY128" s="43">
        <f>(BD128*(10^-3)*$AF$35*$AN$128/(0.1))+AY127</f>
        <v>1.7696615967568072</v>
      </c>
      <c r="AZ128" s="44">
        <v>0.94909048707601318</v>
      </c>
      <c r="BA128" s="44">
        <v>0.91212283623366119</v>
      </c>
      <c r="BB128" s="44">
        <v>1.0957875142282005</v>
      </c>
      <c r="BC128" s="44">
        <v>0.7254958247230745</v>
      </c>
      <c r="BD128" s="44">
        <v>1.0957875142282005</v>
      </c>
      <c r="BE128" s="45">
        <f t="shared" si="162"/>
        <v>0.72964061630436183</v>
      </c>
      <c r="BF128" s="45">
        <f t="shared" si="163"/>
        <v>0.66232280432772905</v>
      </c>
      <c r="BG128" s="45">
        <f t="shared" si="164"/>
        <v>0.75648392780128138</v>
      </c>
      <c r="BH128" s="45">
        <f t="shared" si="165"/>
        <v>0.65336842768510239</v>
      </c>
      <c r="BI128" s="45">
        <f t="shared" si="166"/>
        <v>0.76278517101586529</v>
      </c>
      <c r="BJ128" s="7">
        <f t="shared" si="167"/>
        <v>4.6412058929570406E-2</v>
      </c>
      <c r="BM128" s="6">
        <f t="shared" si="105"/>
        <v>2.6741462613485849</v>
      </c>
      <c r="BN128" s="6">
        <f t="shared" si="135"/>
        <v>6.0762241793878326E-2</v>
      </c>
      <c r="BO128" s="9">
        <f t="shared" si="159"/>
        <v>0.60762241793878324</v>
      </c>
      <c r="BP128">
        <v>0.43478378001428497</v>
      </c>
      <c r="BQ128" s="6"/>
      <c r="BR128" s="6">
        <f t="shared" si="136"/>
        <v>18</v>
      </c>
      <c r="BS128" s="7">
        <v>1080</v>
      </c>
      <c r="BT128" s="6">
        <f t="shared" si="137"/>
        <v>64800</v>
      </c>
      <c r="BU128" s="6">
        <f t="shared" si="158"/>
        <v>43200</v>
      </c>
      <c r="BV128" s="6">
        <f t="shared" si="138"/>
        <v>0.26190621462878588</v>
      </c>
      <c r="BX128" s="43">
        <f>(CC128*(10^-3)*$BI$35*$BU$128/(0.1))+BX127</f>
        <v>0.59592640168962885</v>
      </c>
      <c r="BY128" s="43">
        <f>(CD128*(10^-3)*$BI$35*$BU$128/(0.1))+BY127</f>
        <v>0.52827995852290599</v>
      </c>
      <c r="BZ128" s="43">
        <f>(CE128*(10^-3)*$BI$35*$BU$128/(0.1))+BZ127</f>
        <v>0.73303171368154785</v>
      </c>
      <c r="CA128" s="43">
        <f>(CF128*(10^-3)*$BI$35*$BU$128/(0.1))+CA127</f>
        <v>0.59642746856345852</v>
      </c>
      <c r="CB128" s="43">
        <f>(CG128*(10^-3)*$BI$35*$BU$128/(0.1))+CB127</f>
        <v>0.58099363031605278</v>
      </c>
      <c r="CC128" s="44">
        <v>0.45755318060409733</v>
      </c>
      <c r="CD128" s="44">
        <v>0.34325305525523148</v>
      </c>
      <c r="CE128" s="44">
        <v>0.53312661874593958</v>
      </c>
      <c r="CF128" s="44">
        <v>0.41957908937248939</v>
      </c>
      <c r="CG128" s="44">
        <v>0.41957908937248939</v>
      </c>
      <c r="CH128" s="45">
        <f t="shared" si="139"/>
        <v>0.2568648283144952</v>
      </c>
      <c r="CI128" s="45">
        <f t="shared" si="106"/>
        <v>0.2277068786736664</v>
      </c>
      <c r="CJ128" s="45">
        <f t="shared" si="107"/>
        <v>0.31596194555239132</v>
      </c>
      <c r="CK128" s="45">
        <f t="shared" si="108"/>
        <v>0.25708080541528389</v>
      </c>
      <c r="CL128" s="45">
        <f t="shared" si="109"/>
        <v>0.25042828892933311</v>
      </c>
      <c r="CM128" s="7">
        <f t="shared" si="140"/>
        <v>2.9228809523672412E-2</v>
      </c>
      <c r="CP128" s="6"/>
      <c r="CQ128" s="6"/>
      <c r="CR128" s="9"/>
      <c r="CT128" s="6"/>
      <c r="CU128" s="6"/>
      <c r="CV128" s="7"/>
      <c r="CW128" s="6"/>
      <c r="CX128" s="6"/>
      <c r="CY128" s="6"/>
      <c r="DA128" s="43"/>
      <c r="DB128" s="43"/>
      <c r="DC128" s="43"/>
      <c r="DD128" s="43"/>
      <c r="DE128" s="43"/>
      <c r="DF128" s="44"/>
      <c r="DG128" s="44"/>
      <c r="DH128" s="44"/>
      <c r="DI128" s="44"/>
      <c r="DJ128" s="44"/>
      <c r="DK128" s="45"/>
      <c r="DL128" s="45"/>
      <c r="DM128" s="45"/>
      <c r="DN128" s="45"/>
      <c r="DO128" s="45"/>
      <c r="DP128" s="7"/>
      <c r="DV128" s="6"/>
      <c r="DW128" s="6"/>
      <c r="DX128" s="9"/>
      <c r="DZ128" s="6"/>
      <c r="EA128" s="6"/>
      <c r="EB128" s="7"/>
      <c r="EC128" s="6"/>
      <c r="ED128" s="6"/>
      <c r="EE128" s="6"/>
      <c r="EG128" s="43"/>
      <c r="EH128" s="43"/>
      <c r="EI128" s="43"/>
      <c r="EJ128" s="43"/>
      <c r="EK128" s="43"/>
      <c r="EL128" s="44"/>
      <c r="EM128" s="44"/>
      <c r="EN128" s="44"/>
      <c r="EO128" s="44"/>
      <c r="EP128" s="44"/>
      <c r="EQ128" s="45"/>
      <c r="ER128" s="45"/>
      <c r="ES128" s="45"/>
      <c r="ET128" s="45"/>
      <c r="EU128" s="45"/>
      <c r="EV128" s="7"/>
    </row>
    <row r="129" spans="1:152" x14ac:dyDescent="0.3">
      <c r="A129" s="6"/>
      <c r="B129" s="6"/>
      <c r="C129" s="9"/>
      <c r="D129" s="6"/>
      <c r="E129" s="6"/>
      <c r="F129" s="6"/>
      <c r="G129" s="7"/>
      <c r="H129" s="6"/>
      <c r="I129" s="6"/>
      <c r="J129" s="6"/>
      <c r="M129" s="43"/>
      <c r="N129" s="43"/>
      <c r="O129" s="43"/>
      <c r="P129" s="43"/>
      <c r="Q129" s="43"/>
      <c r="R129" s="44"/>
      <c r="S129" s="44"/>
      <c r="T129" s="44"/>
      <c r="U129" s="44"/>
      <c r="V129" s="44"/>
      <c r="W129" s="45"/>
      <c r="X129" s="45"/>
      <c r="Y129" s="45"/>
      <c r="Z129" s="45"/>
      <c r="AA129" s="45"/>
      <c r="AB129" s="6"/>
      <c r="AF129" s="6">
        <f t="shared" si="99"/>
        <v>7.907354349135141</v>
      </c>
      <c r="AG129" s="6">
        <f t="shared" si="128"/>
        <v>0.17967176435208229</v>
      </c>
      <c r="AH129" s="9">
        <f t="shared" si="129"/>
        <v>1.7967176435208227</v>
      </c>
      <c r="AI129" s="6">
        <v>0.52076605053500669</v>
      </c>
      <c r="AJ129" s="6"/>
      <c r="AK129" s="6">
        <f t="shared" si="160"/>
        <v>22</v>
      </c>
      <c r="AL129" s="7">
        <v>1320</v>
      </c>
      <c r="AM129" s="6">
        <f t="shared" si="161"/>
        <v>79200</v>
      </c>
      <c r="AN129" s="6">
        <f t="shared" si="132"/>
        <v>14400</v>
      </c>
      <c r="AO129" s="6">
        <f t="shared" si="100"/>
        <v>0.77444726013828569</v>
      </c>
      <c r="AU129" s="43">
        <f>(AZ129*(10^-3)*$AF$35*$AN$129/(0.1))+AU128</f>
        <v>1.7229358013491276</v>
      </c>
      <c r="AV129" s="43">
        <f>(BA129*(10^-3)*$AF$35*$AN$129/(0.1))+AV128</f>
        <v>1.7613205041268878</v>
      </c>
      <c r="AW129" s="43">
        <f>(BB129*(10^-3)*$AF$35*$AN$129/(0.1))+AW128</f>
        <v>1.817415653935947</v>
      </c>
      <c r="AX129" s="43">
        <f>(BC129*(10^-3)*$AF$35*$AN$129/(0.1))+AX128</f>
        <v>1.6257073004906801</v>
      </c>
      <c r="AY129" s="43">
        <f>(BD129*(10^-3)*$AF$35*$AN$129/(0.1))+AY128</f>
        <v>1.87955414501805</v>
      </c>
      <c r="AZ129" s="44">
        <v>0.14504043845913842</v>
      </c>
      <c r="BA129" s="44">
        <v>1.0803988216153058</v>
      </c>
      <c r="BB129" s="44">
        <v>0.29985837774015578</v>
      </c>
      <c r="BC129" s="44">
        <v>0.52830923936215268</v>
      </c>
      <c r="BD129" s="44">
        <v>0.52830923936215268</v>
      </c>
      <c r="BE129" s="45">
        <f t="shared" si="162"/>
        <v>0.74264474196083097</v>
      </c>
      <c r="BF129" s="45">
        <f t="shared" si="163"/>
        <v>0.75918987246848613</v>
      </c>
      <c r="BG129" s="45">
        <f t="shared" si="164"/>
        <v>0.7833688163517013</v>
      </c>
      <c r="BH129" s="45">
        <f t="shared" si="165"/>
        <v>0.70073590538391395</v>
      </c>
      <c r="BI129" s="45">
        <f t="shared" si="166"/>
        <v>0.81015264871467674</v>
      </c>
      <c r="BJ129" s="7">
        <f t="shared" si="167"/>
        <v>3.7074059484304998E-2</v>
      </c>
      <c r="BM129" s="6">
        <f t="shared" si="105"/>
        <v>2.7255763282211141</v>
      </c>
      <c r="BN129" s="6">
        <f t="shared" si="135"/>
        <v>6.193084135926185E-2</v>
      </c>
      <c r="BO129" s="9">
        <f t="shared" si="159"/>
        <v>0.61930841359261846</v>
      </c>
      <c r="BP129" s="6">
        <v>5.6180510623799279E-2</v>
      </c>
      <c r="BQ129" s="6"/>
      <c r="BR129" s="6">
        <f t="shared" si="136"/>
        <v>22</v>
      </c>
      <c r="BS129" s="7">
        <v>1320</v>
      </c>
      <c r="BT129" s="6">
        <f t="shared" si="137"/>
        <v>79200</v>
      </c>
      <c r="BU129" s="6">
        <f t="shared" si="158"/>
        <v>14400</v>
      </c>
      <c r="BV129" s="6">
        <f t="shared" si="138"/>
        <v>0.26694328172095627</v>
      </c>
      <c r="BX129" s="43">
        <f>(CC129*(10^-3)*$BI$35*$BU$129/(0.1))+BX128</f>
        <v>0.57815410298823755</v>
      </c>
      <c r="BY129" s="43">
        <f>(CD129*(10^-3)*$BI$35*$BU$129/(0.1))+BY128</f>
        <v>0.54321713058582022</v>
      </c>
      <c r="BZ129" s="43">
        <f>(CE129*(10^-3)*$BI$35*$BU$129/(0.1))+BZ128</f>
        <v>0.76415952679167798</v>
      </c>
      <c r="CA129" s="43">
        <f>(CF129*(10^-3)*$BI$35*$BU$129/(0.1))+CA128</f>
        <v>0.60322850336062961</v>
      </c>
      <c r="CB129" s="43">
        <f>(CG129*(10^-3)*$BI$35*$BU$129/(0.1))+CB128</f>
        <v>0.60403968290345134</v>
      </c>
      <c r="CC129" s="44">
        <v>-8.5440457585243476E-2</v>
      </c>
      <c r="CD129" s="44">
        <v>7.1810565280730543E-2</v>
      </c>
      <c r="CE129" s="44">
        <v>0.14964719198362639</v>
      </c>
      <c r="CF129" s="44">
        <v>3.2696025139278669E-2</v>
      </c>
      <c r="CG129" s="44">
        <v>0.1107940684367837</v>
      </c>
      <c r="CH129" s="45">
        <f t="shared" si="139"/>
        <v>0.24920435473630931</v>
      </c>
      <c r="CI129" s="45">
        <f t="shared" si="106"/>
        <v>0.23414531490768115</v>
      </c>
      <c r="CJ129" s="45">
        <f t="shared" si="107"/>
        <v>0.32937910637572326</v>
      </c>
      <c r="CK129" s="45">
        <f t="shared" si="108"/>
        <v>0.26001228593130588</v>
      </c>
      <c r="CL129" s="45">
        <f t="shared" si="109"/>
        <v>0.26036193228597043</v>
      </c>
      <c r="CM129" s="7">
        <f t="shared" si="140"/>
        <v>3.2800733527801593E-2</v>
      </c>
      <c r="CP129" s="6"/>
      <c r="CQ129" s="6"/>
      <c r="CR129" s="9"/>
      <c r="CS129" s="6"/>
      <c r="CT129" s="6"/>
      <c r="CU129" s="6"/>
      <c r="CV129" s="7"/>
      <c r="CW129" s="6"/>
      <c r="CX129" s="6"/>
      <c r="CY129" s="6"/>
      <c r="DA129" s="43"/>
      <c r="DB129" s="43"/>
      <c r="DC129" s="43"/>
      <c r="DD129" s="43"/>
      <c r="DE129" s="43"/>
      <c r="DF129" s="44"/>
      <c r="DG129" s="44"/>
      <c r="DH129" s="44"/>
      <c r="DI129" s="44"/>
      <c r="DJ129" s="44"/>
      <c r="DK129" s="45"/>
      <c r="DL129" s="45"/>
      <c r="DM129" s="45"/>
      <c r="DN129" s="45"/>
      <c r="DO129" s="45"/>
      <c r="DP129" s="7"/>
      <c r="DV129" s="6"/>
      <c r="DW129" s="6"/>
      <c r="DX129" s="9"/>
      <c r="DY129" s="6"/>
      <c r="DZ129" s="6"/>
      <c r="EA129" s="6"/>
      <c r="EB129" s="7"/>
      <c r="EC129" s="6"/>
      <c r="ED129" s="6"/>
      <c r="EE129" s="6"/>
      <c r="EG129" s="43"/>
      <c r="EH129" s="43"/>
      <c r="EI129" s="43"/>
      <c r="EJ129" s="43"/>
      <c r="EK129" s="43"/>
      <c r="EL129" s="44"/>
      <c r="EM129" s="44"/>
      <c r="EN129" s="44"/>
      <c r="EO129" s="44"/>
      <c r="EP129" s="44"/>
      <c r="EQ129" s="45"/>
      <c r="ER129" s="45"/>
      <c r="ES129" s="45"/>
      <c r="ET129" s="45"/>
      <c r="EU129" s="45"/>
      <c r="EV129" s="7"/>
    </row>
    <row r="130" spans="1:152" x14ac:dyDescent="0.3">
      <c r="A130" s="6"/>
      <c r="B130" s="6"/>
      <c r="C130" s="9"/>
      <c r="D130" s="6"/>
      <c r="E130" s="6"/>
      <c r="F130" s="6"/>
      <c r="G130" s="6"/>
      <c r="H130" s="6"/>
      <c r="I130" s="6"/>
      <c r="J130" s="6"/>
      <c r="M130" s="43"/>
      <c r="N130" s="43"/>
      <c r="O130" s="43"/>
      <c r="P130" s="43"/>
      <c r="Q130" s="43"/>
      <c r="R130" s="44"/>
      <c r="S130" s="44"/>
      <c r="T130" s="44"/>
      <c r="U130" s="44"/>
      <c r="V130" s="44"/>
      <c r="W130" s="45"/>
      <c r="X130" s="45"/>
      <c r="Y130" s="45"/>
      <c r="Z130" s="45"/>
      <c r="AA130" s="45"/>
      <c r="AB130" s="6"/>
      <c r="AF130" s="6">
        <f t="shared" si="99"/>
        <v>8.4471825008142289</v>
      </c>
      <c r="AG130" s="6">
        <f t="shared" si="128"/>
        <v>0.19193779824617652</v>
      </c>
      <c r="AH130" s="9">
        <f t="shared" si="129"/>
        <v>1.9193779824617649</v>
      </c>
      <c r="AI130" s="6">
        <v>0.58969048758192999</v>
      </c>
      <c r="AJ130" s="6"/>
      <c r="AK130" s="6">
        <f t="shared" si="160"/>
        <v>26</v>
      </c>
      <c r="AL130" s="6">
        <v>1560</v>
      </c>
      <c r="AM130" s="6">
        <f t="shared" si="161"/>
        <v>93600</v>
      </c>
      <c r="AN130" s="6">
        <f t="shared" si="132"/>
        <v>14400</v>
      </c>
      <c r="AO130" s="6">
        <f t="shared" si="100"/>
        <v>0.82731809588869187</v>
      </c>
      <c r="AU130" s="43">
        <f>(AZ130*(10^-3)*$AF$35*$AN$130/(0.1))+AU129</f>
        <v>1.8330546599894912</v>
      </c>
      <c r="AV130" s="43">
        <f>(BA130*(10^-3)*$AF$35*$AN$130/(0.1))+AV129</f>
        <v>1.8792854227848426</v>
      </c>
      <c r="AW130" s="43">
        <f>(BB130*(10^-3)*$AF$35*$AN$130/(0.1))+AW129</f>
        <v>1.9665117139540178</v>
      </c>
      <c r="AX130" s="43">
        <f>(BC130*(10^-3)*$AF$35*$AN$130/(0.1))+AX129</f>
        <v>1.7670582946453299</v>
      </c>
      <c r="AY130" s="43">
        <f>(BD130*(10^-3)*$AF$35*$AN$130/(0.1))+AY129</f>
        <v>1.9739040869509559</v>
      </c>
      <c r="AZ130" s="44">
        <v>0.52939722818527979</v>
      </c>
      <c r="BA130" s="44">
        <v>0.56711721980863639</v>
      </c>
      <c r="BB130" s="44">
        <v>0.71678041237871137</v>
      </c>
      <c r="BC130" s="44">
        <v>0.67954595089924297</v>
      </c>
      <c r="BD130" s="44">
        <v>0.45358804436803291</v>
      </c>
      <c r="BE130" s="45">
        <f t="shared" si="162"/>
        <v>0.79010976723684978</v>
      </c>
      <c r="BF130" s="45">
        <f t="shared" si="163"/>
        <v>0.81003682016588052</v>
      </c>
      <c r="BG130" s="45">
        <f t="shared" si="164"/>
        <v>0.84763435946293875</v>
      </c>
      <c r="BH130" s="45">
        <f t="shared" si="165"/>
        <v>0.76166305803678025</v>
      </c>
      <c r="BI130" s="45">
        <f t="shared" si="166"/>
        <v>0.85082072713403278</v>
      </c>
      <c r="BJ130" s="7">
        <f t="shared" si="167"/>
        <v>3.4040230623875845E-2</v>
      </c>
      <c r="BM130" s="6">
        <f t="shared" si="105"/>
        <v>2.7626537301250322</v>
      </c>
      <c r="BN130" s="6">
        <f t="shared" si="135"/>
        <v>6.2773318112361559E-2</v>
      </c>
      <c r="BO130" s="9">
        <f t="shared" si="159"/>
        <v>0.62773318112361554</v>
      </c>
      <c r="BP130" s="6">
        <v>4.05021322785519E-2</v>
      </c>
      <c r="BQ130" s="6"/>
      <c r="BR130" s="6">
        <f t="shared" si="136"/>
        <v>26</v>
      </c>
      <c r="BS130" s="6">
        <v>1560</v>
      </c>
      <c r="BT130" s="6">
        <f t="shared" si="137"/>
        <v>93600</v>
      </c>
      <c r="BU130" s="6">
        <f t="shared" si="158"/>
        <v>14400</v>
      </c>
      <c r="BV130" s="6">
        <f t="shared" si="138"/>
        <v>0.27057464703604117</v>
      </c>
      <c r="BX130" s="43">
        <f>(CC130*(10^-3)*$BI$35*$BU$130/(0.1))+BX129</f>
        <v>0.57679252439736994</v>
      </c>
      <c r="BY130" s="43">
        <f>(CD130*(10^-3)*$BI$35*$BU$130/(0.1))+BY129</f>
        <v>0.558144235472955</v>
      </c>
      <c r="BZ130" s="43">
        <f>(CE130*(10^-3)*$BI$35*$BU$130/(0.1))+BZ129</f>
        <v>0.79526636075228119</v>
      </c>
      <c r="CA130" s="43">
        <f>(CF130*(10^-3)*$BI$35*$BU$130/(0.1))+CA129</f>
        <v>0.58546818261960976</v>
      </c>
      <c r="CB130" s="43">
        <f>(CG130*(10^-3)*$BI$35*$BU$130/(0.1))+CB129</f>
        <v>0.61896678779058611</v>
      </c>
      <c r="CC130" s="44">
        <v>-6.545799156126921E-3</v>
      </c>
      <c r="CD130" s="44">
        <v>7.1762167258637821E-2</v>
      </c>
      <c r="CE130" s="44">
        <v>0.1495463345669551</v>
      </c>
      <c r="CF130" s="44">
        <v>-8.5382873452078067E-2</v>
      </c>
      <c r="CG130" s="44">
        <v>7.1762167258637821E-2</v>
      </c>
      <c r="CH130" s="45">
        <f t="shared" si="139"/>
        <v>0.24861746741265947</v>
      </c>
      <c r="CI130" s="45">
        <f t="shared" si="106"/>
        <v>0.24057941184179096</v>
      </c>
      <c r="CJ130" s="45">
        <f t="shared" si="107"/>
        <v>0.34278722446219018</v>
      </c>
      <c r="CK130" s="45">
        <f t="shared" si="108"/>
        <v>0.25235697526707318</v>
      </c>
      <c r="CL130" s="45">
        <f t="shared" si="109"/>
        <v>0.26679602922008022</v>
      </c>
      <c r="CM130" s="7">
        <f t="shared" si="140"/>
        <v>3.7261365782281008E-2</v>
      </c>
      <c r="CP130" s="6"/>
      <c r="CQ130" s="6"/>
      <c r="CR130" s="9"/>
      <c r="CS130" s="6"/>
      <c r="CT130" s="6"/>
      <c r="CU130" s="6"/>
      <c r="CV130" s="6"/>
      <c r="CW130" s="6"/>
      <c r="CX130" s="6"/>
      <c r="CY130" s="6"/>
      <c r="DA130" s="43"/>
      <c r="DB130" s="43"/>
      <c r="DC130" s="43"/>
      <c r="DD130" s="43"/>
      <c r="DE130" s="43"/>
      <c r="DF130" s="44"/>
      <c r="DG130" s="44"/>
      <c r="DH130" s="44"/>
      <c r="DI130" s="44"/>
      <c r="DJ130" s="44"/>
      <c r="DK130" s="45"/>
      <c r="DL130" s="45"/>
      <c r="DM130" s="45"/>
      <c r="DN130" s="45"/>
      <c r="DO130" s="45"/>
      <c r="DP130" s="7"/>
      <c r="DV130" s="6"/>
      <c r="DW130" s="6"/>
      <c r="DX130" s="9"/>
      <c r="DY130" s="6"/>
      <c r="DZ130" s="6"/>
      <c r="EA130" s="6"/>
      <c r="EB130" s="6"/>
      <c r="EC130" s="6"/>
      <c r="ED130" s="6"/>
      <c r="EE130" s="6"/>
      <c r="EG130" s="43"/>
      <c r="EH130" s="43"/>
      <c r="EI130" s="43"/>
      <c r="EJ130" s="43"/>
      <c r="EK130" s="43"/>
      <c r="EL130" s="44"/>
      <c r="EM130" s="44"/>
      <c r="EN130" s="44"/>
      <c r="EO130" s="44"/>
      <c r="EP130" s="44"/>
      <c r="EQ130" s="45"/>
      <c r="ER130" s="45"/>
      <c r="ES130" s="45"/>
      <c r="ET130" s="45"/>
      <c r="EU130" s="45"/>
      <c r="EV130" s="7"/>
    </row>
    <row r="131" spans="1:152" x14ac:dyDescent="0.3">
      <c r="A131" s="6"/>
      <c r="B131" s="6"/>
      <c r="C131" s="9"/>
      <c r="D131" s="9"/>
      <c r="E131" s="9"/>
      <c r="F131" s="6"/>
      <c r="G131" s="16"/>
      <c r="H131" s="6"/>
      <c r="I131" s="6"/>
      <c r="J131" s="6"/>
      <c r="M131" s="43"/>
      <c r="N131" s="43"/>
      <c r="O131" s="43"/>
      <c r="P131" s="43"/>
      <c r="Q131" s="43"/>
      <c r="R131" s="44"/>
      <c r="S131" s="44"/>
      <c r="T131" s="44"/>
      <c r="U131" s="44"/>
      <c r="V131" s="44"/>
      <c r="W131" s="45"/>
      <c r="X131" s="45"/>
      <c r="Y131" s="45"/>
      <c r="Z131" s="45"/>
      <c r="AA131" s="45"/>
      <c r="AB131" s="6"/>
      <c r="AF131" s="6">
        <f t="shared" si="99"/>
        <v>9.0819496941499462</v>
      </c>
      <c r="AG131" s="6">
        <f t="shared" si="128"/>
        <v>0.20636104735628147</v>
      </c>
      <c r="AH131" s="9">
        <f t="shared" si="129"/>
        <v>2.0636104735628145</v>
      </c>
      <c r="AI131" s="9">
        <v>0.69339876880239915</v>
      </c>
      <c r="AJ131" s="9"/>
      <c r="AK131" s="6">
        <f t="shared" si="160"/>
        <v>30</v>
      </c>
      <c r="AL131" s="16">
        <v>1800</v>
      </c>
      <c r="AM131" s="6">
        <f t="shared" si="161"/>
        <v>108000</v>
      </c>
      <c r="AN131" s="6">
        <f t="shared" si="132"/>
        <v>14400</v>
      </c>
      <c r="AO131" s="6">
        <f t="shared" si="100"/>
        <v>0.88948727308742004</v>
      </c>
      <c r="AU131" s="43">
        <f>(AZ131*(10^-3)*$AF$35*$AN$131/(0.1))+AU130</f>
        <v>1.9669111846255791</v>
      </c>
      <c r="AV131" s="43">
        <f>(BA131*(10^-3)*$AF$35*$AN$131/(0.1))+AV130</f>
        <v>1.9896315258454436</v>
      </c>
      <c r="AW131" s="43">
        <f>(BB131*(10^-3)*$AF$35*$AN$131/(0.1))+AW130</f>
        <v>2.1771140415037182</v>
      </c>
      <c r="AX131" s="43">
        <f>(BC131*(10^-3)*$AF$35*$AN$131/(0.1))+AX130</f>
        <v>2.0002100229243225</v>
      </c>
      <c r="AY131" s="43">
        <f>(BD131*(10^-3)*$AF$35*$AN$131/(0.1))+AY130</f>
        <v>2.0842501900115571</v>
      </c>
      <c r="AZ131" s="44">
        <v>0.64351623320299201</v>
      </c>
      <c r="BA131" s="44">
        <v>0.53048970741798906</v>
      </c>
      <c r="BB131" s="44">
        <v>1.0124722489024471</v>
      </c>
      <c r="BC131" s="44">
        <v>1.1208786598543927</v>
      </c>
      <c r="BD131" s="44">
        <v>0.53048970741798906</v>
      </c>
      <c r="BE131" s="45">
        <f t="shared" si="162"/>
        <v>0.84780654509723241</v>
      </c>
      <c r="BF131" s="45">
        <f t="shared" si="163"/>
        <v>0.85759979562303612</v>
      </c>
      <c r="BG131" s="45">
        <f t="shared" si="164"/>
        <v>0.93841122478608552</v>
      </c>
      <c r="BH131" s="45">
        <f t="shared" si="165"/>
        <v>0.86215949263979419</v>
      </c>
      <c r="BI131" s="45">
        <f t="shared" si="166"/>
        <v>0.89838370259118849</v>
      </c>
      <c r="BJ131" s="7">
        <f t="shared" si="167"/>
        <v>3.347386996660548E-2</v>
      </c>
      <c r="BM131" s="6"/>
      <c r="BN131" s="6"/>
      <c r="BO131" s="9"/>
      <c r="BP131" s="9"/>
      <c r="BQ131" s="9"/>
      <c r="BR131" s="6"/>
      <c r="BS131" s="16"/>
      <c r="BT131" s="6"/>
      <c r="BU131" s="6"/>
      <c r="BV131" s="6"/>
      <c r="BX131" s="43"/>
      <c r="BY131" s="43"/>
      <c r="BZ131" s="43"/>
      <c r="CA131" s="43"/>
      <c r="CB131" s="43"/>
      <c r="CC131" s="44"/>
      <c r="CD131" s="44"/>
      <c r="CE131" s="44"/>
      <c r="CF131" s="44"/>
      <c r="CG131" s="44"/>
      <c r="CH131" s="45"/>
      <c r="CI131" s="45"/>
      <c r="CJ131" s="45"/>
      <c r="CK131" s="45"/>
      <c r="CL131" s="45"/>
      <c r="CM131" s="7"/>
      <c r="CP131" s="6"/>
      <c r="CQ131" s="6"/>
      <c r="CR131" s="9"/>
      <c r="CS131" s="9"/>
      <c r="CT131" s="9"/>
      <c r="CU131" s="6"/>
      <c r="CV131" s="16"/>
      <c r="CW131" s="6"/>
      <c r="CX131" s="6"/>
      <c r="CY131" s="6"/>
      <c r="DA131" s="43"/>
      <c r="DB131" s="43"/>
      <c r="DC131" s="43"/>
      <c r="DD131" s="43"/>
      <c r="DE131" s="43"/>
      <c r="DF131" s="44"/>
      <c r="DG131" s="44"/>
      <c r="DH131" s="44"/>
      <c r="DI131" s="44"/>
      <c r="DJ131" s="44"/>
      <c r="DK131" s="45"/>
      <c r="DL131" s="45"/>
      <c r="DM131" s="45"/>
      <c r="DN131" s="45"/>
      <c r="DO131" s="45"/>
      <c r="DP131" s="7"/>
      <c r="DV131" s="6"/>
      <c r="DW131" s="6"/>
      <c r="DX131" s="9"/>
      <c r="DY131" s="9"/>
      <c r="DZ131" s="9"/>
      <c r="EA131" s="6"/>
      <c r="EB131" s="16"/>
      <c r="EC131" s="6"/>
      <c r="ED131" s="6"/>
      <c r="EE131" s="6"/>
      <c r="EG131" s="43"/>
      <c r="EH131" s="43"/>
      <c r="EI131" s="43"/>
      <c r="EJ131" s="43"/>
      <c r="EK131" s="43"/>
      <c r="EL131" s="44"/>
      <c r="EM131" s="44"/>
      <c r="EN131" s="44"/>
      <c r="EO131" s="44"/>
      <c r="EP131" s="44"/>
      <c r="EQ131" s="45"/>
      <c r="ER131" s="45"/>
      <c r="ES131" s="45"/>
      <c r="ET131" s="45"/>
      <c r="EU131" s="45"/>
      <c r="EV131" s="7"/>
    </row>
    <row r="132" spans="1:152" x14ac:dyDescent="0.3">
      <c r="A132" s="6"/>
      <c r="B132" s="6"/>
      <c r="C132" s="9"/>
      <c r="D132" s="6"/>
      <c r="E132" s="6"/>
      <c r="F132" s="6"/>
      <c r="G132" s="6"/>
      <c r="H132" s="6"/>
      <c r="I132" s="6"/>
      <c r="J132" s="6"/>
      <c r="M132" s="43"/>
      <c r="N132" s="43"/>
      <c r="O132" s="43"/>
      <c r="P132" s="43"/>
      <c r="Q132" s="43"/>
      <c r="R132" s="44"/>
      <c r="S132" s="44"/>
      <c r="T132" s="44"/>
      <c r="U132" s="44"/>
      <c r="V132" s="44"/>
      <c r="W132" s="45"/>
      <c r="X132" s="45"/>
      <c r="Y132" s="45"/>
      <c r="Z132" s="45"/>
      <c r="AA132" s="45"/>
      <c r="AB132" s="6"/>
      <c r="AF132" s="6">
        <f t="shared" si="99"/>
        <v>10.524996170430185</v>
      </c>
      <c r="AG132" s="6">
        <f t="shared" si="128"/>
        <v>0.23915010612202195</v>
      </c>
      <c r="AH132" s="9">
        <f t="shared" si="129"/>
        <v>2.3915010612202194</v>
      </c>
      <c r="AI132" s="6">
        <v>0.52544547590702462</v>
      </c>
      <c r="AJ132" s="6"/>
      <c r="AK132" s="6">
        <f t="shared" si="160"/>
        <v>42</v>
      </c>
      <c r="AL132" s="6">
        <v>2520</v>
      </c>
      <c r="AM132" s="6">
        <f t="shared" si="161"/>
        <v>151200</v>
      </c>
      <c r="AN132" s="6">
        <f t="shared" si="132"/>
        <v>43200</v>
      </c>
      <c r="AO132" s="6">
        <f t="shared" si="100"/>
        <v>1.0308194229397498</v>
      </c>
      <c r="AP132" s="29" t="s">
        <v>160</v>
      </c>
      <c r="AQ132" s="29"/>
      <c r="AU132" s="43">
        <f>(AZ132*(10^-3)*$AF$35*$AN$132/(0.1))+AU131</f>
        <v>2.3468761276210559</v>
      </c>
      <c r="AV132" s="43">
        <f>(BA132*(10^-3)*$AF$35*$AN$132/(0.1))+AV131</f>
        <v>2.3222715410333112</v>
      </c>
      <c r="AW132" s="43">
        <f>(BB132*(10^-3)*$AF$35*$AN$132/(0.1))+AW131</f>
        <v>2.5570789844991948</v>
      </c>
      <c r="AX132" s="43">
        <f>(BC132*(10^-3)*$AF$35*$AN$132/(0.1))+AX131</f>
        <v>2.380174965919799</v>
      </c>
      <c r="AY132" s="43">
        <f>(BD132*(10^-3)*$AF$35*$AN$132/(0.1))+AY131</f>
        <v>2.2488010907248706</v>
      </c>
      <c r="AZ132" s="44">
        <v>0.60889475884817978</v>
      </c>
      <c r="BA132" s="44">
        <v>0.53305644524548357</v>
      </c>
      <c r="BB132" s="44">
        <v>0.60889475884817978</v>
      </c>
      <c r="BC132" s="44">
        <v>0.60889475884817978</v>
      </c>
      <c r="BD132" s="44">
        <v>0.26369322448065047</v>
      </c>
      <c r="BE132" s="45">
        <f t="shared" si="162"/>
        <v>1.0115845377676966</v>
      </c>
      <c r="BF132" s="45">
        <f t="shared" si="163"/>
        <v>1.0009791125143583</v>
      </c>
      <c r="BG132" s="45">
        <f t="shared" si="164"/>
        <v>1.1021892174565495</v>
      </c>
      <c r="BH132" s="45">
        <f t="shared" si="165"/>
        <v>1.0259374853102583</v>
      </c>
      <c r="BI132" s="45">
        <f t="shared" si="166"/>
        <v>0.96931081496761673</v>
      </c>
      <c r="BJ132" s="7">
        <f t="shared" si="167"/>
        <v>4.4209329717069222E-2</v>
      </c>
      <c r="BM132" s="6"/>
      <c r="BN132" s="6"/>
      <c r="BO132" s="9"/>
      <c r="BP132" s="6"/>
      <c r="BQ132" s="6"/>
      <c r="BR132" s="6"/>
      <c r="BS132" s="6"/>
      <c r="BT132" s="6"/>
      <c r="BU132" s="6"/>
      <c r="BV132" s="6"/>
      <c r="BX132" s="43"/>
      <c r="BY132" s="43"/>
      <c r="BZ132" s="43"/>
      <c r="CA132" s="43"/>
      <c r="CB132" s="43"/>
      <c r="CC132" s="44"/>
      <c r="CD132" s="44"/>
      <c r="CE132" s="44"/>
      <c r="CF132" s="44"/>
      <c r="CG132" s="44"/>
      <c r="CH132" s="45"/>
      <c r="CI132" s="45"/>
      <c r="CJ132" s="45"/>
      <c r="CK132" s="45"/>
      <c r="CL132" s="45"/>
      <c r="CM132" s="7"/>
      <c r="CP132" s="6"/>
      <c r="CQ132" s="6"/>
      <c r="CR132" s="9"/>
      <c r="CS132" s="6"/>
      <c r="CT132" s="6"/>
      <c r="CU132" s="6"/>
      <c r="CV132" s="6"/>
      <c r="CW132" s="6"/>
      <c r="CX132" s="6"/>
      <c r="CY132" s="6"/>
      <c r="DA132" s="43"/>
      <c r="DB132" s="43"/>
      <c r="DC132" s="43"/>
      <c r="DD132" s="43"/>
      <c r="DE132" s="43"/>
      <c r="DF132" s="44"/>
      <c r="DG132" s="44"/>
      <c r="DH132" s="44"/>
      <c r="DI132" s="44"/>
      <c r="DJ132" s="44"/>
      <c r="DK132" s="45"/>
      <c r="DL132" s="45"/>
      <c r="DM132" s="45"/>
      <c r="DN132" s="45"/>
      <c r="DO132" s="45"/>
      <c r="DP132" s="7"/>
      <c r="DV132" s="6"/>
      <c r="DW132" s="6"/>
      <c r="DX132" s="9"/>
      <c r="DY132" s="6"/>
      <c r="DZ132" s="6"/>
      <c r="EA132" s="6"/>
      <c r="EB132" s="6"/>
      <c r="EC132" s="6"/>
      <c r="ED132" s="6"/>
      <c r="EE132" s="6"/>
      <c r="EG132" s="43"/>
      <c r="EH132" s="43"/>
      <c r="EI132" s="43"/>
      <c r="EJ132" s="43"/>
      <c r="EK132" s="43"/>
      <c r="EL132" s="44"/>
      <c r="EM132" s="44"/>
      <c r="EN132" s="44"/>
      <c r="EO132" s="44"/>
      <c r="EP132" s="44"/>
      <c r="EQ132" s="45"/>
      <c r="ER132" s="45"/>
      <c r="ES132" s="45"/>
      <c r="ET132" s="45"/>
      <c r="EU132" s="45"/>
      <c r="EV132" s="7"/>
    </row>
    <row r="133" spans="1:152" x14ac:dyDescent="0.3">
      <c r="A133" s="6"/>
      <c r="B133" s="6"/>
      <c r="C133" s="9"/>
      <c r="D133" s="6"/>
      <c r="E133" s="6"/>
      <c r="F133" s="6"/>
      <c r="G133" s="6"/>
      <c r="H133" s="6"/>
      <c r="I133" s="6"/>
      <c r="J133" s="6"/>
      <c r="M133" s="43"/>
      <c r="N133" s="43"/>
      <c r="O133" s="43"/>
      <c r="P133" s="43"/>
      <c r="Q133" s="43"/>
      <c r="R133" s="44"/>
      <c r="S133" s="44"/>
      <c r="T133" s="44"/>
      <c r="U133" s="44"/>
      <c r="V133" s="44"/>
      <c r="W133" s="45"/>
      <c r="X133" s="45"/>
      <c r="Y133" s="45"/>
      <c r="Z133" s="45"/>
      <c r="AA133" s="45"/>
      <c r="AB133" s="6"/>
      <c r="AF133" s="6">
        <f t="shared" si="99"/>
        <v>10.93880993275976</v>
      </c>
      <c r="AG133" s="6">
        <f t="shared" si="128"/>
        <v>0.24855282737468212</v>
      </c>
      <c r="AH133" s="9">
        <f t="shared" si="129"/>
        <v>2.4855282737468212</v>
      </c>
      <c r="AI133" s="6">
        <v>0.45203652035787822</v>
      </c>
      <c r="AJ133" s="6"/>
      <c r="AK133" s="6">
        <f t="shared" si="160"/>
        <v>46</v>
      </c>
      <c r="AL133" s="6">
        <v>2760</v>
      </c>
      <c r="AM133" s="6">
        <f t="shared" si="161"/>
        <v>165600</v>
      </c>
      <c r="AN133" s="6">
        <f t="shared" si="132"/>
        <v>14400</v>
      </c>
      <c r="AO133" s="6">
        <f t="shared" si="100"/>
        <v>1.0713483938563886</v>
      </c>
      <c r="AU133" s="43">
        <f>(AZ133*(10^-3)*$AF$35*$AN$133/(0.1))+AU132</f>
        <v>2.417137655871807</v>
      </c>
      <c r="AV133" s="43">
        <f>(BA133*(10^-3)*$AF$35*$AN$133/(0.1))+AV132</f>
        <v>2.4241690398836191</v>
      </c>
      <c r="AW133" s="43">
        <f>(BB133*(10^-3)*$AF$35*$AN$133/(0.1))+AW132</f>
        <v>2.6511061970257974</v>
      </c>
      <c r="AX133" s="43">
        <f>(BC133*(10^-3)*$AF$35*$AN$133/(0.1))+AX132</f>
        <v>2.4899171566667464</v>
      </c>
      <c r="AY133" s="43">
        <f>(BD133*(10^-3)*$AF$35*$AN$133/(0.1))+AY132</f>
        <v>2.3428283032514732</v>
      </c>
      <c r="AZ133" s="44">
        <v>0.33778281725102433</v>
      </c>
      <c r="BA133" s="44">
        <v>0.48987298012724528</v>
      </c>
      <c r="BB133" s="44">
        <v>0.45203652035788322</v>
      </c>
      <c r="BC133" s="44">
        <v>0.52758639449899625</v>
      </c>
      <c r="BD133" s="44">
        <v>0.45203652035788322</v>
      </c>
      <c r="BE133" s="45">
        <f t="shared" si="162"/>
        <v>1.0418696792550892</v>
      </c>
      <c r="BF133" s="45">
        <f t="shared" si="163"/>
        <v>1.0449004482256981</v>
      </c>
      <c r="BG133" s="45">
        <f t="shared" si="164"/>
        <v>1.1427181883731887</v>
      </c>
      <c r="BH133" s="45">
        <f t="shared" si="165"/>
        <v>1.0732401537356666</v>
      </c>
      <c r="BI133" s="45">
        <f t="shared" si="166"/>
        <v>1.0098397858842558</v>
      </c>
      <c r="BJ133" s="7">
        <f t="shared" si="167"/>
        <v>4.4852558954401822E-2</v>
      </c>
      <c r="BM133" s="6"/>
      <c r="BN133" s="6"/>
      <c r="BO133" s="9"/>
      <c r="BP133" s="6"/>
      <c r="BQ133" s="6"/>
      <c r="BR133" s="6"/>
      <c r="BS133" s="6"/>
      <c r="BT133" s="6"/>
      <c r="BU133" s="6"/>
      <c r="BV133" s="6"/>
      <c r="BX133" s="43"/>
      <c r="BY133" s="43"/>
      <c r="BZ133" s="43"/>
      <c r="CA133" s="43"/>
      <c r="CB133" s="43"/>
      <c r="CC133" s="44"/>
      <c r="CD133" s="44"/>
      <c r="CE133" s="44"/>
      <c r="CF133" s="44"/>
      <c r="CG133" s="44"/>
      <c r="CH133" s="45"/>
      <c r="CI133" s="45"/>
      <c r="CJ133" s="45"/>
      <c r="CK133" s="45"/>
      <c r="CL133" s="45"/>
      <c r="CM133" s="7"/>
      <c r="CP133" s="6"/>
      <c r="CQ133" s="6"/>
      <c r="CR133" s="9"/>
      <c r="CS133" s="6"/>
      <c r="CT133" s="6"/>
      <c r="CU133" s="6"/>
      <c r="CV133" s="6"/>
      <c r="CW133" s="6"/>
      <c r="CX133" s="6"/>
      <c r="CY133" s="6"/>
      <c r="DA133" s="43"/>
      <c r="DB133" s="43"/>
      <c r="DC133" s="43"/>
      <c r="DD133" s="43"/>
      <c r="DE133" s="43"/>
      <c r="DF133" s="44"/>
      <c r="DG133" s="44"/>
      <c r="DH133" s="44"/>
      <c r="DI133" s="44"/>
      <c r="DJ133" s="44"/>
      <c r="DK133" s="45"/>
      <c r="DL133" s="45"/>
      <c r="DM133" s="45"/>
      <c r="DN133" s="45"/>
      <c r="DO133" s="45"/>
      <c r="DP133" s="7"/>
      <c r="DV133" s="6"/>
      <c r="DW133" s="6"/>
      <c r="DX133" s="9"/>
      <c r="DY133" s="6"/>
      <c r="DZ133" s="6"/>
      <c r="EA133" s="6"/>
      <c r="EB133" s="6"/>
      <c r="EC133" s="6"/>
      <c r="ED133" s="6"/>
      <c r="EE133" s="6"/>
      <c r="EG133" s="43"/>
      <c r="EH133" s="43"/>
      <c r="EI133" s="43"/>
      <c r="EJ133" s="43"/>
      <c r="EK133" s="43"/>
      <c r="EL133" s="44"/>
      <c r="EM133" s="44"/>
      <c r="EN133" s="44"/>
      <c r="EO133" s="44"/>
      <c r="EP133" s="44"/>
      <c r="EQ133" s="45"/>
      <c r="ER133" s="45"/>
      <c r="ES133" s="45"/>
      <c r="ET133" s="45"/>
      <c r="EU133" s="45"/>
      <c r="EV133" s="7"/>
    </row>
    <row r="134" spans="1:152" x14ac:dyDescent="0.3">
      <c r="A134" s="6"/>
      <c r="B134" s="6"/>
      <c r="C134" s="9"/>
      <c r="D134" s="6"/>
      <c r="E134" s="6"/>
      <c r="F134" s="6"/>
      <c r="G134" s="6"/>
      <c r="H134" s="6"/>
      <c r="I134" s="6"/>
      <c r="J134" s="6"/>
      <c r="M134" s="43"/>
      <c r="N134" s="43"/>
      <c r="O134" s="43"/>
      <c r="P134" s="43"/>
      <c r="Q134" s="43"/>
      <c r="R134" s="44"/>
      <c r="S134" s="44"/>
      <c r="T134" s="44"/>
      <c r="U134" s="44"/>
      <c r="V134" s="44"/>
      <c r="W134" s="45"/>
      <c r="X134" s="45"/>
      <c r="Y134" s="45"/>
      <c r="Z134" s="45"/>
      <c r="AA134" s="45"/>
      <c r="AB134" s="6"/>
      <c r="AF134" s="6">
        <f t="shared" si="99"/>
        <v>11.17309039080315</v>
      </c>
      <c r="AG134" s="6">
        <f t="shared" si="128"/>
        <v>0.253876173387938</v>
      </c>
      <c r="AH134" s="9">
        <f t="shared" si="129"/>
        <v>2.53876173387938</v>
      </c>
      <c r="AI134" s="6">
        <v>0.25592025370446753</v>
      </c>
      <c r="AJ134" s="6"/>
      <c r="AK134" s="6">
        <f t="shared" si="160"/>
        <v>50</v>
      </c>
      <c r="AL134" s="6">
        <v>3000</v>
      </c>
      <c r="AM134" s="6">
        <f t="shared" si="161"/>
        <v>180000</v>
      </c>
      <c r="AN134" s="6">
        <f t="shared" si="132"/>
        <v>14400</v>
      </c>
      <c r="AO134" s="6">
        <f t="shared" si="100"/>
        <v>1.0942938508100777</v>
      </c>
      <c r="AU134" s="43">
        <f>(AZ134*(10^-3)*$AF$35*$AN$134/(0.1))+AU133</f>
        <v>2.5113259566501256</v>
      </c>
      <c r="AV134" s="43">
        <f>(BA134*(10^-3)*$AF$35*$AN$134/(0.1))+AV133</f>
        <v>2.4462286788458343</v>
      </c>
      <c r="AW134" s="43">
        <f>(BB134*(10^-3)*$AF$35*$AN$134/(0.1))+AW133</f>
        <v>2.6155622462145369</v>
      </c>
      <c r="AX134" s="43">
        <f>(BC134*(10^-3)*$AF$35*$AN$134/(0.1))+AX133</f>
        <v>2.6232691681039308</v>
      </c>
      <c r="AY134" s="43">
        <f>(BD134*(10^-3)*$AF$35*$AN$134/(0.1))+AY133</f>
        <v>2.4211716461331094</v>
      </c>
      <c r="AZ134" s="44">
        <v>0.4528109533206342</v>
      </c>
      <c r="BA134" s="44">
        <v>0.10605187763074039</v>
      </c>
      <c r="BB134" s="44">
        <v>-0.1708778066769579</v>
      </c>
      <c r="BC134" s="44">
        <v>0.6410907822640699</v>
      </c>
      <c r="BD134" s="44">
        <v>0.37663620092321498</v>
      </c>
      <c r="BE134" s="45">
        <f t="shared" ref="BE134:BI136" si="168">AU134/2.32</f>
        <v>1.0824680847629853</v>
      </c>
      <c r="BF134" s="45">
        <f t="shared" si="168"/>
        <v>1.0544089132956183</v>
      </c>
      <c r="BG134" s="45">
        <f t="shared" si="168"/>
        <v>1.127397519920059</v>
      </c>
      <c r="BH134" s="45">
        <f t="shared" si="168"/>
        <v>1.1307194690103151</v>
      </c>
      <c r="BI134" s="45">
        <f t="shared" si="168"/>
        <v>1.0436084681608231</v>
      </c>
      <c r="BJ134" s="7">
        <f t="shared" si="167"/>
        <v>3.6072976792198654E-2</v>
      </c>
      <c r="BM134" s="6"/>
      <c r="BN134" s="6"/>
      <c r="BO134" s="9"/>
      <c r="BP134" s="6"/>
      <c r="BQ134" s="6"/>
      <c r="BR134" s="6"/>
      <c r="BS134" s="6"/>
      <c r="BT134" s="6"/>
      <c r="BU134" s="6"/>
      <c r="BV134" s="6"/>
      <c r="BX134" s="43"/>
      <c r="BY134" s="43"/>
      <c r="BZ134" s="43"/>
      <c r="CA134" s="43"/>
      <c r="CB134" s="43"/>
      <c r="CC134" s="44"/>
      <c r="CD134" s="44"/>
      <c r="CE134" s="44"/>
      <c r="CF134" s="44"/>
      <c r="CG134" s="44"/>
      <c r="CH134" s="45"/>
      <c r="CI134" s="45"/>
      <c r="CJ134" s="45"/>
      <c r="CK134" s="45"/>
      <c r="CL134" s="45"/>
      <c r="CM134" s="7"/>
      <c r="CP134" s="6"/>
      <c r="CQ134" s="6"/>
      <c r="CR134" s="9"/>
      <c r="CS134" s="6"/>
      <c r="CT134" s="6"/>
      <c r="CU134" s="6"/>
      <c r="CV134" s="6"/>
      <c r="CW134" s="6"/>
      <c r="CX134" s="6"/>
      <c r="CY134" s="6"/>
      <c r="DA134" s="43"/>
      <c r="DB134" s="43"/>
      <c r="DC134" s="43"/>
      <c r="DD134" s="43"/>
      <c r="DE134" s="43"/>
      <c r="DF134" s="44"/>
      <c r="DG134" s="44"/>
      <c r="DH134" s="44"/>
      <c r="DI134" s="44"/>
      <c r="DJ134" s="44"/>
      <c r="DK134" s="45"/>
      <c r="DL134" s="45"/>
      <c r="DM134" s="45"/>
      <c r="DN134" s="45"/>
      <c r="DO134" s="45"/>
      <c r="DP134" s="7"/>
      <c r="DV134" s="6"/>
      <c r="DW134" s="6"/>
      <c r="DX134" s="9"/>
      <c r="DY134" s="6"/>
      <c r="DZ134" s="6"/>
      <c r="EA134" s="6"/>
      <c r="EB134" s="6"/>
      <c r="EC134" s="6"/>
      <c r="ED134" s="6"/>
      <c r="EE134" s="6"/>
      <c r="EG134" s="43"/>
      <c r="EH134" s="43"/>
      <c r="EI134" s="43"/>
      <c r="EJ134" s="43"/>
      <c r="EK134" s="43"/>
      <c r="EL134" s="44"/>
      <c r="EM134" s="44"/>
      <c r="EN134" s="44"/>
      <c r="EO134" s="44"/>
      <c r="EP134" s="44"/>
      <c r="EQ134" s="45"/>
      <c r="ER134" s="45"/>
      <c r="ES134" s="45"/>
      <c r="ET134" s="45"/>
      <c r="EU134" s="45"/>
      <c r="EV134" s="7"/>
    </row>
    <row r="135" spans="1:152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M135" s="43"/>
      <c r="N135" s="43"/>
      <c r="O135" s="43"/>
      <c r="P135" s="43"/>
      <c r="Q135" s="43"/>
      <c r="R135" s="44"/>
      <c r="S135" s="44"/>
      <c r="T135" s="44"/>
      <c r="U135" s="44"/>
      <c r="V135" s="44"/>
      <c r="W135" s="45"/>
      <c r="X135" s="45"/>
      <c r="Y135" s="45"/>
      <c r="Z135" s="45"/>
      <c r="AA135" s="45"/>
      <c r="AB135" s="6"/>
      <c r="AF135" s="6">
        <f t="shared" si="99"/>
        <v>11.244551191859893</v>
      </c>
      <c r="AG135" s="6">
        <f t="shared" si="128"/>
        <v>0.25549991347102691</v>
      </c>
      <c r="AH135" s="9">
        <f t="shared" si="129"/>
        <v>2.5549991347102692</v>
      </c>
      <c r="AI135" s="6">
        <v>7.8061424709093691E-2</v>
      </c>
      <c r="AJ135" s="6"/>
      <c r="AK135" s="6">
        <f t="shared" si="160"/>
        <v>54</v>
      </c>
      <c r="AL135" s="6">
        <v>3240</v>
      </c>
      <c r="AM135" s="6">
        <f t="shared" si="161"/>
        <v>194400</v>
      </c>
      <c r="AN135" s="6">
        <f t="shared" si="132"/>
        <v>14400</v>
      </c>
      <c r="AO135" s="6">
        <f t="shared" si="100"/>
        <v>1.1012927304785645</v>
      </c>
      <c r="AU135" s="43">
        <f>(AZ135*(10^-3)*$AF$35*$AN$135/(0.1))+AU134</f>
        <v>2.541495528173134</v>
      </c>
      <c r="AV135" s="43">
        <f>(BA135*(10^-3)*$AF$35*$AN$135/(0.1))+AV134</f>
        <v>2.4355402247904983</v>
      </c>
      <c r="AW135" s="43">
        <f>(BB135*(10^-3)*$AF$35*$AN$135/(0.1))+AW134</f>
        <v>2.5633290770753367</v>
      </c>
      <c r="AX135" s="43">
        <f>(BC135*(10^-3)*$AF$35*$AN$135/(0.1))+AX134</f>
        <v>2.7253062764748424</v>
      </c>
      <c r="AY135" s="43">
        <f>(BD135*(10^-3)*$AF$35*$AN$135/(0.1))+AY134</f>
        <v>2.4594319157904443</v>
      </c>
      <c r="AZ135" s="44">
        <v>0.14504043845913842</v>
      </c>
      <c r="BA135" s="44">
        <v>-5.138482200365397E-2</v>
      </c>
      <c r="BB135" s="44">
        <v>-0.25111134734817897</v>
      </c>
      <c r="BC135" s="44">
        <v>0.49054415393115414</v>
      </c>
      <c r="BD135" s="44">
        <v>0.18393652963989215</v>
      </c>
      <c r="BE135" s="45">
        <f t="shared" si="168"/>
        <v>1.0954722104194543</v>
      </c>
      <c r="BF135" s="45">
        <f t="shared" si="168"/>
        <v>1.0498018210303872</v>
      </c>
      <c r="BG135" s="45">
        <f t="shared" si="168"/>
        <v>1.1048832228773005</v>
      </c>
      <c r="BH135" s="45">
        <f t="shared" si="168"/>
        <v>1.1747009812391562</v>
      </c>
      <c r="BI135" s="45">
        <f t="shared" si="168"/>
        <v>1.0600999637027777</v>
      </c>
      <c r="BJ135" s="7">
        <f t="shared" si="167"/>
        <v>4.402545231292241E-2</v>
      </c>
      <c r="BM135" s="6"/>
      <c r="BN135" s="6"/>
      <c r="BO135" s="9"/>
      <c r="BP135" s="6"/>
      <c r="BQ135" s="6"/>
      <c r="BR135" s="6"/>
      <c r="BS135" s="6"/>
      <c r="BT135" s="6"/>
      <c r="BU135" s="6"/>
      <c r="BV135" s="6"/>
      <c r="BX135" s="43"/>
      <c r="BY135" s="43"/>
      <c r="BZ135" s="43"/>
      <c r="CA135" s="43"/>
      <c r="CB135" s="43"/>
      <c r="CC135" s="44"/>
      <c r="CD135" s="44"/>
      <c r="CE135" s="44"/>
      <c r="CF135" s="44"/>
      <c r="CG135" s="44"/>
      <c r="CH135" s="45"/>
      <c r="CI135" s="45"/>
      <c r="CJ135" s="45"/>
      <c r="CK135" s="45"/>
      <c r="CL135" s="45"/>
      <c r="CM135" s="7"/>
      <c r="CP135" s="6"/>
      <c r="CQ135" s="6"/>
      <c r="CR135" s="9"/>
      <c r="CS135" s="6"/>
      <c r="CT135" s="6"/>
      <c r="CU135" s="6"/>
      <c r="CV135" s="6"/>
      <c r="CW135" s="6"/>
      <c r="CX135" s="6"/>
      <c r="CY135" s="6"/>
      <c r="DA135" s="43"/>
      <c r="DB135" s="43"/>
      <c r="DC135" s="43"/>
      <c r="DD135" s="43"/>
      <c r="DE135" s="43"/>
      <c r="DF135" s="44"/>
      <c r="DG135" s="44"/>
      <c r="DH135" s="44"/>
      <c r="DI135" s="44"/>
      <c r="DJ135" s="44"/>
      <c r="DK135" s="45"/>
      <c r="DL135" s="45"/>
      <c r="DM135" s="45"/>
      <c r="DN135" s="45"/>
      <c r="DO135" s="45"/>
      <c r="DP135" s="7"/>
      <c r="DV135" s="6"/>
      <c r="DW135" s="6"/>
      <c r="DX135" s="9"/>
      <c r="DY135" s="6"/>
      <c r="DZ135" s="6"/>
      <c r="EA135" s="6"/>
      <c r="EB135" s="6"/>
      <c r="EC135" s="6"/>
      <c r="ED135" s="6"/>
      <c r="EE135" s="6"/>
      <c r="EG135" s="43"/>
      <c r="EH135" s="43"/>
      <c r="EI135" s="43"/>
      <c r="EJ135" s="43"/>
      <c r="EK135" s="43"/>
      <c r="EL135" s="44"/>
      <c r="EM135" s="44"/>
      <c r="EN135" s="44"/>
      <c r="EO135" s="44"/>
      <c r="EP135" s="44"/>
      <c r="EQ135" s="45"/>
      <c r="ER135" s="45"/>
      <c r="ES135" s="45"/>
      <c r="ET135" s="45"/>
      <c r="EU135" s="45"/>
      <c r="EV135" s="7"/>
    </row>
    <row r="136" spans="1:152" x14ac:dyDescent="0.3">
      <c r="AF136" s="6">
        <f t="shared" si="99"/>
        <v>11.575874745844754</v>
      </c>
      <c r="AG136" s="6">
        <f t="shared" si="128"/>
        <v>0.26302828325027844</v>
      </c>
      <c r="AH136" s="9">
        <f t="shared" si="129"/>
        <v>2.6302828325027843</v>
      </c>
      <c r="AI136" s="6">
        <v>0.13160979436545295</v>
      </c>
      <c r="AJ136" s="6"/>
      <c r="AK136" s="6">
        <f t="shared" si="160"/>
        <v>65</v>
      </c>
      <c r="AL136" s="6">
        <v>3900</v>
      </c>
      <c r="AM136" s="6">
        <f t="shared" si="161"/>
        <v>234000</v>
      </c>
      <c r="AN136" s="6">
        <f t="shared" si="132"/>
        <v>39600</v>
      </c>
      <c r="AO136" s="6">
        <f t="shared" si="100"/>
        <v>1.1337426002167175</v>
      </c>
      <c r="AU136" s="43">
        <f>(AZ136*(10^-3)*$AF$35*$AN$136/(0.1))+AU135</f>
        <v>2.5346105601372306</v>
      </c>
      <c r="AV136" s="43">
        <f>(BA136*(10^-3)*$AF$35*$AN$136/(0.1))+AV135</f>
        <v>2.4744256412763059</v>
      </c>
      <c r="AW136" s="43">
        <f>(BB136*(10^-3)*$AF$35*$AN$136/(0.1))+AW135</f>
        <v>2.7153230507056607</v>
      </c>
      <c r="AX136" s="43">
        <f>(BC136*(10^-3)*$AF$35*$AN$136/(0.1))+AX135</f>
        <v>2.8096594633698158</v>
      </c>
      <c r="AY136" s="43">
        <f>(BD136*(10^-3)*$AF$35*$AN$136/(0.1))+AY135</f>
        <v>2.5664064439038405</v>
      </c>
      <c r="AZ136" s="44">
        <v>-1.20361944748685E-2</v>
      </c>
      <c r="BA136" s="44">
        <v>6.797888278039603E-2</v>
      </c>
      <c r="BB136" s="44">
        <v>0.26571351037254515</v>
      </c>
      <c r="BC136" s="44">
        <v>0.14746493473148478</v>
      </c>
      <c r="BD136" s="44">
        <v>0.18701121305368695</v>
      </c>
      <c r="BE136" s="45">
        <f t="shared" si="168"/>
        <v>1.0925045517832892</v>
      </c>
      <c r="BF136" s="45">
        <f t="shared" si="168"/>
        <v>1.066562776412201</v>
      </c>
      <c r="BG136" s="45">
        <f t="shared" si="168"/>
        <v>1.1703978666834745</v>
      </c>
      <c r="BH136" s="45">
        <f t="shared" si="168"/>
        <v>1.2110601135214725</v>
      </c>
      <c r="BI136" s="45">
        <f t="shared" si="168"/>
        <v>1.1062096740964831</v>
      </c>
      <c r="BJ136" s="7">
        <f t="shared" si="167"/>
        <v>5.3285583695642652E-2</v>
      </c>
      <c r="BM136" s="6"/>
      <c r="BN136" s="6"/>
      <c r="BO136" s="9"/>
      <c r="BP136" s="6"/>
      <c r="BQ136" s="6"/>
      <c r="BR136" s="6"/>
      <c r="BS136" s="6"/>
      <c r="BT136" s="6"/>
      <c r="BU136" s="6"/>
      <c r="BV136" s="6"/>
      <c r="BX136" s="43"/>
      <c r="BY136" s="43"/>
      <c r="BZ136" s="43"/>
      <c r="CA136" s="43"/>
      <c r="CB136" s="43"/>
      <c r="CC136" s="44"/>
      <c r="CD136" s="44"/>
      <c r="CE136" s="44"/>
      <c r="CF136" s="44"/>
      <c r="CG136" s="44"/>
      <c r="CH136" s="45"/>
      <c r="CI136" s="45"/>
      <c r="CJ136" s="45"/>
      <c r="CK136" s="45"/>
      <c r="CL136" s="45"/>
      <c r="CM136" s="7"/>
      <c r="CP136" s="6"/>
      <c r="CQ136" s="6"/>
      <c r="CR136" s="9"/>
      <c r="CS136" s="6"/>
      <c r="CT136" s="6"/>
      <c r="CU136" s="6"/>
      <c r="CV136" s="6"/>
      <c r="CW136" s="6"/>
      <c r="CX136" s="6"/>
      <c r="CY136" s="6"/>
      <c r="DA136" s="43"/>
      <c r="DB136" s="43"/>
      <c r="DC136" s="43"/>
      <c r="DD136" s="43"/>
      <c r="DE136" s="43"/>
      <c r="DF136" s="44"/>
      <c r="DG136" s="44"/>
      <c r="DH136" s="44"/>
      <c r="DI136" s="44"/>
      <c r="DJ136" s="44"/>
      <c r="DK136" s="45"/>
      <c r="DL136" s="45"/>
      <c r="DM136" s="45"/>
      <c r="DN136" s="45"/>
      <c r="DO136" s="45"/>
      <c r="DP136" s="7"/>
      <c r="DV136" s="6"/>
      <c r="DW136" s="6"/>
      <c r="DX136" s="9"/>
      <c r="DY136" s="6"/>
      <c r="DZ136" s="6"/>
      <c r="EA136" s="6"/>
      <c r="EB136" s="6"/>
      <c r="EC136" s="6"/>
      <c r="ED136" s="6"/>
      <c r="EE136" s="6"/>
      <c r="EG136" s="43"/>
      <c r="EH136" s="43"/>
      <c r="EI136" s="43"/>
      <c r="EJ136" s="43"/>
      <c r="EK136" s="43"/>
      <c r="EL136" s="44"/>
      <c r="EM136" s="44"/>
      <c r="EN136" s="44"/>
      <c r="EO136" s="44"/>
      <c r="EP136" s="44"/>
      <c r="EQ136" s="45"/>
      <c r="ER136" s="45"/>
      <c r="ES136" s="45"/>
      <c r="ET136" s="45"/>
      <c r="EU136" s="45"/>
      <c r="EV136" s="7"/>
    </row>
    <row r="145" spans="1:44" x14ac:dyDescent="0.3">
      <c r="AR145" s="24" t="s">
        <v>169</v>
      </c>
    </row>
    <row r="153" spans="1:44" x14ac:dyDescent="0.3">
      <c r="C153" t="s">
        <v>108</v>
      </c>
    </row>
    <row r="154" spans="1:44" x14ac:dyDescent="0.3">
      <c r="C154" t="s">
        <v>201</v>
      </c>
    </row>
    <row r="155" spans="1:44" x14ac:dyDescent="0.3">
      <c r="A155" t="s">
        <v>2</v>
      </c>
      <c r="C155">
        <v>6.0000000000000001E-3</v>
      </c>
      <c r="D155">
        <v>0.06</v>
      </c>
      <c r="E155">
        <v>0.6</v>
      </c>
      <c r="F155">
        <v>2.2999999999999998</v>
      </c>
      <c r="G155">
        <v>3</v>
      </c>
      <c r="AB155" s="12" t="s">
        <v>51</v>
      </c>
      <c r="AC155" s="6"/>
      <c r="AD155" s="6"/>
      <c r="AE155" s="6"/>
      <c r="AF155" s="6"/>
    </row>
    <row r="156" spans="1:44" x14ac:dyDescent="0.3">
      <c r="A156" t="s">
        <v>79</v>
      </c>
      <c r="B156" t="s">
        <v>106</v>
      </c>
      <c r="F156" t="s">
        <v>105</v>
      </c>
      <c r="G156" t="s">
        <v>208</v>
      </c>
      <c r="W156" s="5" t="s">
        <v>188</v>
      </c>
      <c r="X156" s="42"/>
      <c r="Y156" s="42"/>
      <c r="Z156" s="42"/>
      <c r="AA156" s="40"/>
      <c r="AB156" s="41" t="s">
        <v>52</v>
      </c>
      <c r="AC156" s="42"/>
      <c r="AD156" s="42"/>
      <c r="AE156" s="40"/>
      <c r="AF156" s="6"/>
      <c r="AG156" s="59" t="s">
        <v>162</v>
      </c>
      <c r="AJ156" t="s">
        <v>295</v>
      </c>
      <c r="AK156" t="s">
        <v>304</v>
      </c>
      <c r="AM156" t="s">
        <v>305</v>
      </c>
    </row>
    <row r="157" spans="1:44" x14ac:dyDescent="0.3">
      <c r="A157" s="6">
        <f>B157/60</f>
        <v>1.6666666666666666E-2</v>
      </c>
      <c r="B157" s="6">
        <v>1</v>
      </c>
      <c r="C157">
        <v>1.4338184603568964E-3</v>
      </c>
      <c r="D157">
        <v>2.1263381173117399E-3</v>
      </c>
      <c r="E157">
        <v>1.2110997438967496E-2</v>
      </c>
      <c r="F157">
        <v>4.637527449518597E-2</v>
      </c>
      <c r="G157">
        <v>6.9279359161352819E-2</v>
      </c>
      <c r="W157" s="50">
        <f>$G$341*AB157*0.1</f>
        <v>6.3281245674860348E-2</v>
      </c>
      <c r="X157" s="50">
        <f t="shared" ref="W157:Y163" si="169">$G$341*AC157*0.1</f>
        <v>6.636625743177943E-2</v>
      </c>
      <c r="Y157" s="50">
        <f t="shared" si="169"/>
        <v>6.9803164767607923E-2</v>
      </c>
      <c r="Z157" s="50">
        <f t="shared" ref="Z157:AA163" si="170">$G$341*AE157*0.1</f>
        <v>7.1375753481045232E-2</v>
      </c>
      <c r="AA157" s="50">
        <f>$G$341*AF157*0.1</f>
        <v>7.19814345179626E-2</v>
      </c>
      <c r="AB157" s="43">
        <v>1.4378833373065291E-2</v>
      </c>
      <c r="AC157" s="43">
        <v>1.5079813095155518E-2</v>
      </c>
      <c r="AD157" s="43">
        <v>1.5860750912885236E-2</v>
      </c>
      <c r="AE157" s="43">
        <v>1.6218076228367469E-2</v>
      </c>
      <c r="AF157" s="43">
        <v>1.6355699731416179E-2</v>
      </c>
      <c r="AG157" s="7">
        <f>_xlfn.STDEV.P(W157:AA157)</f>
        <v>3.2820079769555898E-3</v>
      </c>
      <c r="AI157">
        <v>3.2820079769555902E-3</v>
      </c>
      <c r="AJ157" s="25">
        <f>STDEV(AB157:AF157)</f>
        <v>8.3376425121214079E-4</v>
      </c>
      <c r="AK157">
        <f>AVERAGE(AB157:AF157)</f>
        <v>1.5578634668177938E-2</v>
      </c>
      <c r="AL157">
        <v>1.6666666666666666E-2</v>
      </c>
      <c r="AM157">
        <f>AK157/3</f>
        <v>5.1928782227259789E-3</v>
      </c>
      <c r="AN157">
        <f>9.8528*(EXP(-0.298*AM157))</f>
        <v>9.8375648027196405</v>
      </c>
      <c r="AP157" t="s">
        <v>296</v>
      </c>
      <c r="AQ157">
        <v>2.3199999999999998</v>
      </c>
      <c r="AR157" t="s">
        <v>297</v>
      </c>
    </row>
    <row r="158" spans="1:44" x14ac:dyDescent="0.3">
      <c r="A158" s="6">
        <f t="shared" ref="A158:A173" si="171">B158/60</f>
        <v>0.16666666666666666</v>
      </c>
      <c r="B158" s="6">
        <v>10</v>
      </c>
      <c r="C158">
        <v>1.215695337459163E-2</v>
      </c>
      <c r="D158">
        <v>1.8359473664869938E-2</v>
      </c>
      <c r="E158">
        <v>0.1184846151210424</v>
      </c>
      <c r="F158">
        <v>0.45268618362218432</v>
      </c>
      <c r="G158">
        <v>0.56867026601837067</v>
      </c>
      <c r="W158" s="50">
        <f t="shared" si="169"/>
        <v>0.63069286769900834</v>
      </c>
      <c r="X158" s="50">
        <f t="shared" si="169"/>
        <v>0.62428486364784808</v>
      </c>
      <c r="Y158" s="50">
        <f t="shared" si="169"/>
        <v>0.62292788281014799</v>
      </c>
      <c r="Z158" s="50">
        <f t="shared" si="170"/>
        <v>0.61705361841318429</v>
      </c>
      <c r="AA158" s="50">
        <f t="shared" si="170"/>
        <v>0.6128937103742611</v>
      </c>
      <c r="AB158" s="43">
        <v>0.14330671840468265</v>
      </c>
      <c r="AC158" s="43">
        <v>0.14185068476433721</v>
      </c>
      <c r="AD158" s="43">
        <v>0.14154235010455532</v>
      </c>
      <c r="AE158" s="43">
        <v>0.14020759336814004</v>
      </c>
      <c r="AF158" s="43">
        <v>0.13926237454538992</v>
      </c>
      <c r="AG158" s="7">
        <f t="shared" ref="AG158:AG163" si="172">_xlfn.STDEV.P(W158:AA158)</f>
        <v>6.1337875408488049E-3</v>
      </c>
      <c r="AI158">
        <v>6.1337875408488049E-3</v>
      </c>
      <c r="AJ158" s="25">
        <f t="shared" ref="AJ158:AJ200" si="173">STDEV(AB158:AF158)</f>
        <v>1.5582328903521033E-3</v>
      </c>
      <c r="AK158">
        <f t="shared" ref="AK158:AK200" si="174">AVERAGE(AB158:AF158)</f>
        <v>0.14123394423742103</v>
      </c>
      <c r="AL158">
        <v>0.16666666666666666</v>
      </c>
      <c r="AM158">
        <f t="shared" ref="AM158:AM163" si="175">AK158/3</f>
        <v>4.7077981412473678E-2</v>
      </c>
      <c r="AN158">
        <f t="shared" ref="AN158:AN163" si="176">9.8528*(EXP(-0.298*AM158))</f>
        <v>9.7155378125876162</v>
      </c>
      <c r="AP158" t="s">
        <v>300</v>
      </c>
      <c r="AQ158">
        <v>79</v>
      </c>
      <c r="AR158" t="s">
        <v>298</v>
      </c>
    </row>
    <row r="159" spans="1:44" x14ac:dyDescent="0.3">
      <c r="A159" s="6">
        <f t="shared" si="171"/>
        <v>0.5</v>
      </c>
      <c r="B159" s="6">
        <v>30</v>
      </c>
      <c r="C159">
        <v>2.8539410372135678E-2</v>
      </c>
      <c r="D159">
        <v>3.0700315998906064E-2</v>
      </c>
      <c r="E159">
        <v>0.30265053489164284</v>
      </c>
      <c r="F159">
        <v>1.1694003889342961</v>
      </c>
      <c r="G159">
        <v>1.5367039913909548</v>
      </c>
      <c r="W159" s="50">
        <f t="shared" si="169"/>
        <v>1.6096989157739063</v>
      </c>
      <c r="X159" s="50">
        <f t="shared" si="169"/>
        <v>1.5980384349716392</v>
      </c>
      <c r="Y159" s="50">
        <f t="shared" si="169"/>
        <v>1.5818940477936783</v>
      </c>
      <c r="Z159" s="50">
        <f t="shared" si="170"/>
        <v>1.5807804390885767</v>
      </c>
      <c r="AA159" s="50">
        <f t="shared" si="170"/>
        <v>1.5772963440359213</v>
      </c>
      <c r="AB159" s="43">
        <v>0.36575753596316896</v>
      </c>
      <c r="AC159" s="43">
        <v>0.36310802885063376</v>
      </c>
      <c r="AD159" s="43">
        <v>0.35943968366136747</v>
      </c>
      <c r="AE159" s="43">
        <v>0.35918664828188518</v>
      </c>
      <c r="AF159" s="43">
        <v>0.35839498841988671</v>
      </c>
      <c r="AG159" s="7">
        <f t="shared" si="172"/>
        <v>1.2358825774544413E-2</v>
      </c>
      <c r="AI159">
        <v>1.2358825774544413E-2</v>
      </c>
      <c r="AJ159" s="25">
        <f t="shared" si="173"/>
        <v>3.1396471885887229E-3</v>
      </c>
      <c r="AK159">
        <f t="shared" si="174"/>
        <v>0.36117737703538844</v>
      </c>
      <c r="AL159">
        <v>0.5</v>
      </c>
      <c r="AM159">
        <f t="shared" si="175"/>
        <v>0.12039245901179614</v>
      </c>
      <c r="AN159">
        <f t="shared" si="176"/>
        <v>9.5055774465001743</v>
      </c>
      <c r="AP159" t="s">
        <v>301</v>
      </c>
      <c r="AQ159">
        <f>AQ158*AQ157</f>
        <v>183.28</v>
      </c>
      <c r="AR159" t="s">
        <v>299</v>
      </c>
    </row>
    <row r="160" spans="1:44" x14ac:dyDescent="0.3">
      <c r="A160" s="6">
        <f t="shared" si="171"/>
        <v>1</v>
      </c>
      <c r="B160" s="6">
        <v>60</v>
      </c>
      <c r="C160">
        <v>5.0391577725784759E-2</v>
      </c>
      <c r="D160">
        <v>4.8576111200606967E-2</v>
      </c>
      <c r="E160">
        <v>0.51606804378939086</v>
      </c>
      <c r="F160">
        <v>1.925435850490447</v>
      </c>
      <c r="G160">
        <v>2.5395471990628757</v>
      </c>
      <c r="W160" s="50">
        <f t="shared" si="169"/>
        <v>2.641004885995498</v>
      </c>
      <c r="X160" s="50">
        <f t="shared" si="169"/>
        <v>2.2832083911789973</v>
      </c>
      <c r="Y160" s="50">
        <f t="shared" si="169"/>
        <v>2.2252526355897055</v>
      </c>
      <c r="Z160" s="50">
        <f t="shared" si="170"/>
        <v>2.2404836377583051</v>
      </c>
      <c r="AA160" s="50">
        <f t="shared" si="170"/>
        <v>2.2431659368071966</v>
      </c>
      <c r="AB160" s="43">
        <v>0.60009199863565055</v>
      </c>
      <c r="AC160" s="43">
        <v>0.51879309047466426</v>
      </c>
      <c r="AD160" s="43">
        <v>0.50562432074294605</v>
      </c>
      <c r="AE160" s="43">
        <v>0.5090851255983424</v>
      </c>
      <c r="AF160" s="43">
        <v>0.5096946005015216</v>
      </c>
      <c r="AG160" s="7">
        <f t="shared" si="172"/>
        <v>0.15835518331015813</v>
      </c>
      <c r="AI160">
        <v>0.15835518331015813</v>
      </c>
      <c r="AJ160" s="25">
        <f t="shared" si="173"/>
        <v>4.0228692850596888E-2</v>
      </c>
      <c r="AK160">
        <f t="shared" si="174"/>
        <v>0.52865782719062504</v>
      </c>
      <c r="AL160">
        <v>1</v>
      </c>
      <c r="AM160">
        <f t="shared" si="175"/>
        <v>0.17621927573020835</v>
      </c>
      <c r="AN160">
        <f t="shared" si="176"/>
        <v>9.3487471024180397</v>
      </c>
      <c r="AP160" t="s">
        <v>302</v>
      </c>
      <c r="AQ160">
        <f>AQ159/79*44</f>
        <v>102.08</v>
      </c>
      <c r="AR160" t="s">
        <v>299</v>
      </c>
    </row>
    <row r="161" spans="1:44" x14ac:dyDescent="0.3">
      <c r="A161" s="6">
        <f t="shared" si="171"/>
        <v>1.5</v>
      </c>
      <c r="B161" s="7">
        <v>90</v>
      </c>
      <c r="C161">
        <v>5.8710739955453665E-2</v>
      </c>
      <c r="D161">
        <v>6.0347459526784421E-2</v>
      </c>
      <c r="E161">
        <v>0.68662333462608749</v>
      </c>
      <c r="F161">
        <v>2.5061168782292071</v>
      </c>
      <c r="G161">
        <v>3.2979534744469068</v>
      </c>
      <c r="W161" s="50">
        <f t="shared" si="169"/>
        <v>3.4116999600075837</v>
      </c>
      <c r="X161" s="50">
        <f t="shared" si="169"/>
        <v>3.0725129230805992</v>
      </c>
      <c r="Y161" s="50">
        <f t="shared" si="169"/>
        <v>2.9745806684068299</v>
      </c>
      <c r="Z161" s="50">
        <f t="shared" si="170"/>
        <v>2.9993654099436631</v>
      </c>
      <c r="AA161" s="50">
        <f t="shared" si="170"/>
        <v>2.9657370441639639</v>
      </c>
      <c r="AB161" s="43">
        <v>0.77521017041753781</v>
      </c>
      <c r="AC161" s="43">
        <v>0.698139723490252</v>
      </c>
      <c r="AD161" s="43">
        <v>0.67588745021741192</v>
      </c>
      <c r="AE161" s="43">
        <v>0.68151906610853508</v>
      </c>
      <c r="AF161" s="43">
        <v>0.67387799231173906</v>
      </c>
      <c r="AG161" s="7">
        <f t="shared" si="172"/>
        <v>0.16771279714832116</v>
      </c>
      <c r="AI161">
        <v>0.16771279714832116</v>
      </c>
      <c r="AJ161" s="25">
        <f t="shared" si="173"/>
        <v>4.2605909466062172E-2</v>
      </c>
      <c r="AK161">
        <f t="shared" si="174"/>
        <v>0.70092688050909513</v>
      </c>
      <c r="AL161">
        <v>1.5</v>
      </c>
      <c r="AM161">
        <f t="shared" si="175"/>
        <v>0.2336422935030317</v>
      </c>
      <c r="AN161">
        <f t="shared" si="176"/>
        <v>9.1901317755878065</v>
      </c>
      <c r="AP161" t="s">
        <v>303</v>
      </c>
      <c r="AQ161">
        <f>AQ160/44</f>
        <v>2.3199999999999998</v>
      </c>
      <c r="AR161" t="s">
        <v>297</v>
      </c>
    </row>
    <row r="162" spans="1:44" x14ac:dyDescent="0.3">
      <c r="A162" s="6">
        <f t="shared" si="171"/>
        <v>2</v>
      </c>
      <c r="B162" s="7">
        <v>120</v>
      </c>
      <c r="C162">
        <v>6.4757907699098019E-2</v>
      </c>
      <c r="D162">
        <v>6.8537154733264716E-2</v>
      </c>
      <c r="E162">
        <v>0.81454720875525077</v>
      </c>
      <c r="F162">
        <v>2.9791729416768145</v>
      </c>
      <c r="G162">
        <v>3.8707165168497548</v>
      </c>
      <c r="W162" s="50">
        <f t="shared" si="169"/>
        <v>3.9906922049902365</v>
      </c>
      <c r="X162" s="50">
        <f t="shared" si="169"/>
        <v>3.6458437507989476</v>
      </c>
      <c r="Y162" s="50">
        <f t="shared" si="169"/>
        <v>3.5592046119279894</v>
      </c>
      <c r="Z162" s="50">
        <f t="shared" si="170"/>
        <v>3.5584111210588563</v>
      </c>
      <c r="AA162" s="50">
        <f t="shared" si="170"/>
        <v>3.5333765000293091</v>
      </c>
      <c r="AB162" s="43">
        <v>0.9067694171756957</v>
      </c>
      <c r="AC162" s="43">
        <v>0.82841257686865433</v>
      </c>
      <c r="AD162" s="43">
        <v>0.80872633763417157</v>
      </c>
      <c r="AE162" s="43">
        <v>0.80854603977706341</v>
      </c>
      <c r="AF162" s="43">
        <v>0.80285764599620757</v>
      </c>
      <c r="AG162" s="7">
        <f t="shared" si="172"/>
        <v>0.17090356692812758</v>
      </c>
      <c r="AI162">
        <v>0.17090356692812758</v>
      </c>
      <c r="AJ162" s="25">
        <f t="shared" si="173"/>
        <v>4.3416495483808056E-2</v>
      </c>
      <c r="AK162">
        <f t="shared" si="174"/>
        <v>0.83106240349035865</v>
      </c>
      <c r="AL162">
        <v>2</v>
      </c>
      <c r="AM162">
        <f t="shared" si="175"/>
        <v>0.2770208011634529</v>
      </c>
      <c r="AN162">
        <f t="shared" si="176"/>
        <v>9.0720973704431369</v>
      </c>
    </row>
    <row r="163" spans="1:44" x14ac:dyDescent="0.3">
      <c r="A163" s="6">
        <f t="shared" si="171"/>
        <v>4</v>
      </c>
      <c r="B163" s="7">
        <v>240</v>
      </c>
      <c r="C163">
        <v>6.6268781696955964E-2</v>
      </c>
      <c r="D163">
        <v>9.5264965984048974E-2</v>
      </c>
      <c r="E163">
        <v>1.2390812907336977</v>
      </c>
      <c r="F163">
        <v>3.927159462359759</v>
      </c>
      <c r="G163">
        <v>5.6106486113910146</v>
      </c>
      <c r="W163" s="50">
        <f t="shared" si="169"/>
        <v>5.7409005917705667</v>
      </c>
      <c r="X163" s="50">
        <f t="shared" si="169"/>
        <v>5.4470896224653842</v>
      </c>
      <c r="Y163" s="50">
        <f t="shared" si="169"/>
        <v>5.2187057973473543</v>
      </c>
      <c r="Z163" s="50">
        <f t="shared" si="170"/>
        <v>5.3342096313799816</v>
      </c>
      <c r="AA163" s="50">
        <f t="shared" si="170"/>
        <v>5.2449293832920318</v>
      </c>
      <c r="AB163" s="43">
        <v>1.30445366775064</v>
      </c>
      <c r="AC163" s="43">
        <v>1.2376936201920892</v>
      </c>
      <c r="AD163" s="43">
        <v>1.185799999397263</v>
      </c>
      <c r="AE163" s="43">
        <v>1.2120449060168101</v>
      </c>
      <c r="AF163" s="43">
        <v>1.1917585510774895</v>
      </c>
      <c r="AG163" s="7">
        <f t="shared" si="172"/>
        <v>0.18954333193337269</v>
      </c>
      <c r="AI163">
        <v>0.18954333193337269</v>
      </c>
      <c r="AJ163" s="25">
        <f t="shared" si="173"/>
        <v>4.8151758110069082E-2</v>
      </c>
      <c r="AK163">
        <f t="shared" si="174"/>
        <v>1.2263501488868584</v>
      </c>
      <c r="AL163">
        <v>4</v>
      </c>
      <c r="AM163">
        <f t="shared" si="175"/>
        <v>0.40878338296228617</v>
      </c>
      <c r="AN163">
        <f t="shared" si="176"/>
        <v>8.7227820600871659</v>
      </c>
    </row>
    <row r="164" spans="1:44" x14ac:dyDescent="0.3">
      <c r="A164" s="6">
        <f t="shared" si="171"/>
        <v>6</v>
      </c>
      <c r="B164" s="7">
        <v>360</v>
      </c>
      <c r="E164">
        <v>1.480086686260655</v>
      </c>
      <c r="F164">
        <v>4.8038411248018402</v>
      </c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J164" s="25"/>
    </row>
    <row r="165" spans="1:44" x14ac:dyDescent="0.3">
      <c r="A165" s="6">
        <f t="shared" si="171"/>
        <v>18</v>
      </c>
      <c r="B165" s="7">
        <v>1080</v>
      </c>
      <c r="E165">
        <v>2.6741462613485849</v>
      </c>
      <c r="F165">
        <v>7.4306226052158841</v>
      </c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J165" s="25"/>
    </row>
    <row r="166" spans="1:44" x14ac:dyDescent="0.3">
      <c r="A166" s="6">
        <f t="shared" si="171"/>
        <v>22</v>
      </c>
      <c r="B166" s="7">
        <v>1320</v>
      </c>
      <c r="E166">
        <v>2.7255763282211141</v>
      </c>
      <c r="F166">
        <v>7.907354349135141</v>
      </c>
      <c r="AB166" s="12" t="s">
        <v>70</v>
      </c>
      <c r="AC166" s="6"/>
      <c r="AD166" s="6"/>
      <c r="AE166" s="6"/>
      <c r="AF166" s="6"/>
      <c r="AJ166" s="25"/>
    </row>
    <row r="167" spans="1:44" x14ac:dyDescent="0.3">
      <c r="A167" s="6">
        <f t="shared" si="171"/>
        <v>26</v>
      </c>
      <c r="B167" s="6">
        <v>1560</v>
      </c>
      <c r="E167">
        <v>2.7626537301250322</v>
      </c>
      <c r="F167">
        <v>8.4471825008142289</v>
      </c>
      <c r="W167" s="5" t="s">
        <v>188</v>
      </c>
      <c r="X167" s="42"/>
      <c r="Y167" s="42"/>
      <c r="Z167" s="42"/>
      <c r="AA167" s="40"/>
      <c r="AB167" s="41" t="s">
        <v>52</v>
      </c>
      <c r="AC167" s="42"/>
      <c r="AD167" s="42"/>
      <c r="AE167" s="40"/>
      <c r="AF167" s="6"/>
      <c r="AG167" s="59" t="s">
        <v>162</v>
      </c>
      <c r="AJ167" t="s">
        <v>295</v>
      </c>
      <c r="AK167" t="s">
        <v>304</v>
      </c>
      <c r="AM167" t="s">
        <v>305</v>
      </c>
      <c r="AN167" t="s">
        <v>306</v>
      </c>
    </row>
    <row r="168" spans="1:44" x14ac:dyDescent="0.3">
      <c r="A168" s="6">
        <f t="shared" si="171"/>
        <v>30</v>
      </c>
      <c r="B168" s="16">
        <v>1800</v>
      </c>
      <c r="F168">
        <v>9.0819496941499462</v>
      </c>
      <c r="W168" s="50">
        <f t="shared" ref="W168:W184" si="177">$G$341*AB168*0.1</f>
        <v>4.4951223634885185E-2</v>
      </c>
      <c r="X168" s="50">
        <f t="shared" ref="X168:X184" si="178">$G$341*AC168*0.1</f>
        <v>4.5683838417734303E-2</v>
      </c>
      <c r="Y168" s="50">
        <f t="shared" ref="Y168:Y184" si="179">$G$341*AD168*0.1</f>
        <v>4.635686252446692E-2</v>
      </c>
      <c r="Z168" s="50">
        <f t="shared" ref="Z168:Z184" si="180">$G$341*AE168*0.1</f>
        <v>4.7749114377005034E-2</v>
      </c>
      <c r="AA168" s="50">
        <f t="shared" ref="AA168:AA184" si="181">$G$341*AF168*0.1</f>
        <v>4.798993312072921E-2</v>
      </c>
      <c r="AB168" s="43">
        <v>1.0213865856597405E-2</v>
      </c>
      <c r="AC168" s="43">
        <v>1.0380331383261601E-2</v>
      </c>
      <c r="AD168" s="43">
        <v>1.0533256651776169E-2</v>
      </c>
      <c r="AE168" s="43">
        <v>1.0849605629857994E-2</v>
      </c>
      <c r="AF168" s="43">
        <v>1.0904324726364283E-2</v>
      </c>
      <c r="AG168" s="7">
        <f t="shared" ref="AG168:AG184" si="182">_xlfn.STDEV.P(W168:AA168)</f>
        <v>1.1708829237480453E-3</v>
      </c>
      <c r="AH168" t="s">
        <v>189</v>
      </c>
      <c r="AI168">
        <v>1.1708829237480145E-3</v>
      </c>
      <c r="AJ168" s="25">
        <f t="shared" si="173"/>
        <v>2.9745214851105808E-4</v>
      </c>
      <c r="AK168">
        <f t="shared" si="174"/>
        <v>1.0576276849571489E-2</v>
      </c>
      <c r="AL168">
        <f>1/60</f>
        <v>1.6666666666666666E-2</v>
      </c>
      <c r="AM168">
        <f>AK168/2.3</f>
        <v>4.5983812389441261E-3</v>
      </c>
      <c r="AN168">
        <f>9.8528*(EXP(-0.298*AM168))</f>
        <v>9.83930778108388</v>
      </c>
    </row>
    <row r="169" spans="1:44" x14ac:dyDescent="0.3">
      <c r="A169" s="6">
        <f t="shared" si="171"/>
        <v>42</v>
      </c>
      <c r="B169" s="6">
        <v>2520</v>
      </c>
      <c r="F169">
        <v>10.524996170430185</v>
      </c>
      <c r="W169" s="50">
        <f t="shared" si="177"/>
        <v>0.45728926109902429</v>
      </c>
      <c r="X169" s="50">
        <f t="shared" si="178"/>
        <v>0.45530417067376316</v>
      </c>
      <c r="Y169" s="50">
        <f t="shared" si="179"/>
        <v>0.44724604683033181</v>
      </c>
      <c r="Z169" s="50">
        <f t="shared" si="180"/>
        <v>0.45252531454031253</v>
      </c>
      <c r="AA169" s="50">
        <f t="shared" si="181"/>
        <v>0.45171320085582289</v>
      </c>
      <c r="AB169" s="43">
        <v>0.10390576257646542</v>
      </c>
      <c r="AC169" s="43">
        <v>0.10345470817399753</v>
      </c>
      <c r="AD169" s="43">
        <v>0.10162373252222945</v>
      </c>
      <c r="AE169" s="43">
        <v>0.10282329346519259</v>
      </c>
      <c r="AF169" s="43">
        <v>0.10263876411175255</v>
      </c>
      <c r="AG169" s="7">
        <f t="shared" si="182"/>
        <v>3.4212892206938431E-3</v>
      </c>
      <c r="AH169" t="s">
        <v>190</v>
      </c>
      <c r="AI169">
        <v>3.4212892206938431E-3</v>
      </c>
      <c r="AJ169" s="25">
        <f t="shared" si="173"/>
        <v>8.6914738334000245E-4</v>
      </c>
      <c r="AK169">
        <f t="shared" si="174"/>
        <v>0.1028892521699275</v>
      </c>
      <c r="AL169">
        <f>10/60</f>
        <v>0.16666666666666666</v>
      </c>
      <c r="AM169">
        <f t="shared" ref="AM169:AM184" si="183">AK169/2.3</f>
        <v>4.4734457465185874E-2</v>
      </c>
      <c r="AN169">
        <f t="shared" ref="AN169:AN184" si="184">9.8528*(EXP(-0.298*AM169))</f>
        <v>9.7223252238407394</v>
      </c>
    </row>
    <row r="170" spans="1:44" x14ac:dyDescent="0.3">
      <c r="A170" s="6">
        <f t="shared" si="171"/>
        <v>46</v>
      </c>
      <c r="B170" s="6">
        <v>2760</v>
      </c>
      <c r="F170">
        <v>10.93880993275976</v>
      </c>
      <c r="W170" s="50">
        <f t="shared" si="177"/>
        <v>1.1858746594777922</v>
      </c>
      <c r="X170" s="50">
        <f t="shared" si="178"/>
        <v>1.1773262135634328</v>
      </c>
      <c r="Y170" s="50">
        <f t="shared" si="179"/>
        <v>1.1648484552416087</v>
      </c>
      <c r="Z170" s="50">
        <f t="shared" si="180"/>
        <v>1.1532321110844215</v>
      </c>
      <c r="AA170" s="50">
        <f t="shared" si="181"/>
        <v>1.1659774459527383</v>
      </c>
      <c r="AB170" s="43">
        <v>0.26945572812492435</v>
      </c>
      <c r="AC170" s="43">
        <v>0.26751334095965301</v>
      </c>
      <c r="AD170" s="43">
        <v>0.26467813116146527</v>
      </c>
      <c r="AE170" s="43">
        <v>0.26203865282536276</v>
      </c>
      <c r="AF170" s="43">
        <v>0.26493466165706392</v>
      </c>
      <c r="AG170" s="7">
        <f t="shared" si="182"/>
        <v>1.1207648548389869E-2</v>
      </c>
      <c r="AH170" t="s">
        <v>191</v>
      </c>
      <c r="AI170">
        <v>1.1207648548389869E-2</v>
      </c>
      <c r="AJ170" s="25">
        <f t="shared" si="173"/>
        <v>2.8472010931750178E-3</v>
      </c>
      <c r="AK170">
        <f t="shared" si="174"/>
        <v>0.26572410294569393</v>
      </c>
      <c r="AL170">
        <v>0.5</v>
      </c>
      <c r="AM170">
        <f t="shared" si="183"/>
        <v>0.11553221867204085</v>
      </c>
      <c r="AN170">
        <f t="shared" si="184"/>
        <v>9.5193548398522712</v>
      </c>
    </row>
    <row r="171" spans="1:44" x14ac:dyDescent="0.3">
      <c r="A171" s="6">
        <f t="shared" si="171"/>
        <v>50</v>
      </c>
      <c r="B171" s="6">
        <v>3000</v>
      </c>
      <c r="F171">
        <v>11.17309039080315</v>
      </c>
      <c r="W171" s="50">
        <f t="shared" si="177"/>
        <v>1.9480353213639845</v>
      </c>
      <c r="X171" s="50">
        <f t="shared" si="178"/>
        <v>1.9181199771480135</v>
      </c>
      <c r="Y171" s="50">
        <f t="shared" si="179"/>
        <v>1.9223008183423855</v>
      </c>
      <c r="Z171" s="50">
        <f t="shared" si="180"/>
        <v>1.9224130824364574</v>
      </c>
      <c r="AA171" s="50">
        <f t="shared" si="181"/>
        <v>1.9163248160068482</v>
      </c>
      <c r="AB171" s="43">
        <v>0.44263470151419781</v>
      </c>
      <c r="AC171" s="43">
        <v>0.43583730450988722</v>
      </c>
      <c r="AD171" s="43">
        <v>0.4367872797869542</v>
      </c>
      <c r="AE171" s="43">
        <v>0.43681278855634115</v>
      </c>
      <c r="AF171" s="43">
        <v>0.43542940604563696</v>
      </c>
      <c r="AG171" s="7">
        <f t="shared" si="182"/>
        <v>1.1543262498765262E-2</v>
      </c>
      <c r="AH171" t="s">
        <v>192</v>
      </c>
      <c r="AI171">
        <v>1.1543262498765262E-2</v>
      </c>
      <c r="AJ171" s="25">
        <f t="shared" si="173"/>
        <v>2.932460762254402E-3</v>
      </c>
      <c r="AK171">
        <f t="shared" si="174"/>
        <v>0.43750029608260343</v>
      </c>
      <c r="AL171">
        <v>1</v>
      </c>
      <c r="AM171">
        <f t="shared" si="183"/>
        <v>0.19021752003591455</v>
      </c>
      <c r="AN171">
        <f t="shared" si="184"/>
        <v>9.3098302475542845</v>
      </c>
    </row>
    <row r="172" spans="1:44" x14ac:dyDescent="0.3">
      <c r="A172" s="6">
        <f t="shared" si="171"/>
        <v>54</v>
      </c>
      <c r="B172" s="6">
        <v>3240</v>
      </c>
      <c r="F172">
        <v>11.244551191859893</v>
      </c>
      <c r="W172" s="50">
        <f t="shared" si="177"/>
        <v>2.5225279905912954</v>
      </c>
      <c r="X172" s="50">
        <f t="shared" si="178"/>
        <v>2.4784144250037339</v>
      </c>
      <c r="Y172" s="50">
        <f t="shared" si="179"/>
        <v>2.5135873212857813</v>
      </c>
      <c r="Z172" s="50">
        <f t="shared" si="180"/>
        <v>2.5219984837531717</v>
      </c>
      <c r="AA172" s="50">
        <f t="shared" si="181"/>
        <v>2.4936347994093349</v>
      </c>
      <c r="AB172" s="43">
        <v>0.57317154978216212</v>
      </c>
      <c r="AC172" s="43">
        <v>0.56314801749687204</v>
      </c>
      <c r="AD172" s="43">
        <v>0.57114004119195216</v>
      </c>
      <c r="AE172" s="43">
        <v>0.57305123466329733</v>
      </c>
      <c r="AF172" s="43">
        <v>0.56660640750041691</v>
      </c>
      <c r="AG172" s="7">
        <f t="shared" si="182"/>
        <v>1.7323684470084429E-2</v>
      </c>
      <c r="AH172" t="s">
        <v>193</v>
      </c>
      <c r="AI172">
        <v>1.7323684470084429E-2</v>
      </c>
      <c r="AJ172" s="25">
        <f t="shared" si="173"/>
        <v>4.4009243462697365E-3</v>
      </c>
      <c r="AK172">
        <f t="shared" si="174"/>
        <v>0.56942345012694007</v>
      </c>
      <c r="AL172">
        <v>1.5</v>
      </c>
      <c r="AM172">
        <f t="shared" si="183"/>
        <v>0.24757541309866962</v>
      </c>
      <c r="AN172">
        <f t="shared" si="184"/>
        <v>9.1520528164102828</v>
      </c>
    </row>
    <row r="173" spans="1:44" x14ac:dyDescent="0.3">
      <c r="A173" s="6">
        <f t="shared" si="171"/>
        <v>65</v>
      </c>
      <c r="B173" s="6">
        <v>3900</v>
      </c>
      <c r="F173">
        <v>11.575874745844754</v>
      </c>
      <c r="W173" s="50">
        <f t="shared" si="177"/>
        <v>3.042945452263051</v>
      </c>
      <c r="X173" s="50">
        <f t="shared" si="178"/>
        <v>3.0679336439079536</v>
      </c>
      <c r="Y173" s="50">
        <f t="shared" si="179"/>
        <v>2.9602898346998177</v>
      </c>
      <c r="Z173" s="50">
        <f t="shared" si="180"/>
        <v>2.8932870393860672</v>
      </c>
      <c r="AA173" s="50">
        <f t="shared" si="181"/>
        <v>2.9179010156622991</v>
      </c>
      <c r="AB173" s="43">
        <v>0.6914213706573622</v>
      </c>
      <c r="AC173" s="43">
        <v>0.6970992147030115</v>
      </c>
      <c r="AD173" s="43">
        <v>0.67264027146099015</v>
      </c>
      <c r="AE173" s="43">
        <v>0.65741582353693873</v>
      </c>
      <c r="AF173" s="43">
        <v>0.66300863796007703</v>
      </c>
      <c r="AG173" s="7">
        <f t="shared" si="182"/>
        <v>6.8404842683435316E-2</v>
      </c>
      <c r="AH173" t="s">
        <v>194</v>
      </c>
      <c r="AI173">
        <v>6.8404842683435316E-2</v>
      </c>
      <c r="AJ173" s="25">
        <f t="shared" si="173"/>
        <v>1.7377627610808966E-2</v>
      </c>
      <c r="AK173">
        <f t="shared" si="174"/>
        <v>0.67631706366367594</v>
      </c>
      <c r="AL173">
        <v>2</v>
      </c>
      <c r="AM173">
        <f t="shared" si="183"/>
        <v>0.29405089724507649</v>
      </c>
      <c r="AN173">
        <f t="shared" si="184"/>
        <v>9.0261733908022972</v>
      </c>
    </row>
    <row r="174" spans="1:44" x14ac:dyDescent="0.3">
      <c r="W174" s="50">
        <f t="shared" si="177"/>
        <v>3.9883929977980004</v>
      </c>
      <c r="X174" s="50">
        <f t="shared" si="178"/>
        <v>3.2948760333919327</v>
      </c>
      <c r="Y174" s="50">
        <f t="shared" si="179"/>
        <v>3.8751690483462329</v>
      </c>
      <c r="Z174" s="50">
        <f t="shared" si="180"/>
        <v>3.8081662530324829</v>
      </c>
      <c r="AA174" s="50">
        <f t="shared" si="181"/>
        <v>3.9239311162391752</v>
      </c>
      <c r="AB174" s="43">
        <v>0.90624698882026822</v>
      </c>
      <c r="AC174" s="43">
        <v>0.7486653109275011</v>
      </c>
      <c r="AD174" s="43">
        <v>0.8805201200514049</v>
      </c>
      <c r="AE174" s="43">
        <v>0.86529567212735348</v>
      </c>
      <c r="AF174" s="43">
        <v>0.89159989007933993</v>
      </c>
      <c r="AG174" s="7">
        <f t="shared" si="182"/>
        <v>0.24872540712914765</v>
      </c>
      <c r="AH174" t="s">
        <v>195</v>
      </c>
      <c r="AI174">
        <v>0.24872540712914765</v>
      </c>
      <c r="AJ174" s="25">
        <f t="shared" si="173"/>
        <v>6.3186425593283926E-2</v>
      </c>
      <c r="AK174">
        <f t="shared" si="174"/>
        <v>0.85846559640117359</v>
      </c>
      <c r="AL174">
        <v>4</v>
      </c>
      <c r="AM174">
        <f t="shared" si="183"/>
        <v>0.37324591147877118</v>
      </c>
      <c r="AN174">
        <f t="shared" si="184"/>
        <v>8.8156486428251792</v>
      </c>
    </row>
    <row r="175" spans="1:44" x14ac:dyDescent="0.3">
      <c r="W175" s="50">
        <f t="shared" si="177"/>
        <v>4.8433488569513061</v>
      </c>
      <c r="X175" s="50">
        <f t="shared" si="178"/>
        <v>4.2575378096080945</v>
      </c>
      <c r="Y175" s="50">
        <f t="shared" si="179"/>
        <v>4.7145492657737496</v>
      </c>
      <c r="Z175" s="50">
        <f t="shared" si="180"/>
        <v>4.6786500490364631</v>
      </c>
      <c r="AA175" s="50">
        <f t="shared" si="181"/>
        <v>4.7788869753924805</v>
      </c>
      <c r="AB175" s="43">
        <v>1.1005109877189971</v>
      </c>
      <c r="AC175" s="43">
        <v>0.96740236528245716</v>
      </c>
      <c r="AD175" s="43">
        <v>1.071245004720234</v>
      </c>
      <c r="AE175" s="43">
        <v>1.0630879457024456</v>
      </c>
      <c r="AF175" s="43">
        <v>1.0858638889780687</v>
      </c>
      <c r="AG175" s="7">
        <f t="shared" si="182"/>
        <v>0.20635119843153521</v>
      </c>
      <c r="AH175" t="s">
        <v>196</v>
      </c>
      <c r="AI175">
        <v>0.20635119843153521</v>
      </c>
      <c r="AJ175" s="25">
        <f t="shared" si="173"/>
        <v>5.2421643595939711E-2</v>
      </c>
      <c r="AK175">
        <f t="shared" si="174"/>
        <v>1.0576220384804405</v>
      </c>
      <c r="AL175">
        <v>6</v>
      </c>
      <c r="AM175">
        <f t="shared" si="183"/>
        <v>0.45983566890453936</v>
      </c>
      <c r="AN175">
        <f t="shared" si="184"/>
        <v>8.5910816643600327</v>
      </c>
    </row>
    <row r="176" spans="1:44" x14ac:dyDescent="0.3">
      <c r="W176" s="50">
        <f t="shared" si="177"/>
        <v>7.4498641774647512</v>
      </c>
      <c r="X176" s="50">
        <f t="shared" si="178"/>
        <v>6.7625277754834983</v>
      </c>
      <c r="Y176" s="50">
        <f t="shared" si="179"/>
        <v>7.7239429777079796</v>
      </c>
      <c r="Z176" s="50">
        <f t="shared" si="180"/>
        <v>6.6711007245617537</v>
      </c>
      <c r="AA176" s="50">
        <f t="shared" si="181"/>
        <v>7.7882806873267088</v>
      </c>
      <c r="AB176" s="43">
        <v>1.6927662298261192</v>
      </c>
      <c r="AC176" s="43">
        <v>1.5365889060403313</v>
      </c>
      <c r="AD176" s="43">
        <v>1.7550427124989727</v>
      </c>
      <c r="AE176" s="43">
        <v>1.5158147522294374</v>
      </c>
      <c r="AF176" s="43">
        <v>1.7696615967568072</v>
      </c>
      <c r="AG176" s="7">
        <f t="shared" si="182"/>
        <v>0.47388197352977141</v>
      </c>
      <c r="AH176" t="s">
        <v>197</v>
      </c>
      <c r="AI176">
        <v>0.47388197352977141</v>
      </c>
      <c r="AJ176" s="25">
        <f t="shared" si="173"/>
        <v>0.12038540174100482</v>
      </c>
      <c r="AK176">
        <f t="shared" si="174"/>
        <v>1.6539748394703337</v>
      </c>
      <c r="AL176">
        <v>18</v>
      </c>
      <c r="AM176">
        <f t="shared" si="183"/>
        <v>0.71911949542188425</v>
      </c>
      <c r="AN176">
        <f t="shared" si="184"/>
        <v>7.9522751420359086</v>
      </c>
    </row>
    <row r="177" spans="1:44" x14ac:dyDescent="0.3">
      <c r="W177" s="50">
        <f t="shared" si="177"/>
        <v>7.5826404617375109</v>
      </c>
      <c r="X177" s="50">
        <f t="shared" si="178"/>
        <v>7.7515715386624322</v>
      </c>
      <c r="Y177" s="50">
        <f t="shared" si="179"/>
        <v>7.9984462929721021</v>
      </c>
      <c r="Z177" s="50">
        <f t="shared" si="180"/>
        <v>7.1547378294594841</v>
      </c>
      <c r="AA177" s="50">
        <f t="shared" si="181"/>
        <v>8.2719177922244373</v>
      </c>
      <c r="AB177" s="43">
        <v>1.7229358013491276</v>
      </c>
      <c r="AC177" s="43">
        <v>1.7613205041268878</v>
      </c>
      <c r="AD177" s="43">
        <v>1.817415653935947</v>
      </c>
      <c r="AE177" s="43">
        <v>1.6257073004906801</v>
      </c>
      <c r="AF177" s="43">
        <v>1.87955414501805</v>
      </c>
      <c r="AG177" s="7">
        <f t="shared" si="182"/>
        <v>0.37853801103378876</v>
      </c>
      <c r="AH177" t="s">
        <v>198</v>
      </c>
      <c r="AI177">
        <v>0.37853801103378876</v>
      </c>
      <c r="AJ177" s="25">
        <f t="shared" si="173"/>
        <v>9.6164135962181124E-2</v>
      </c>
      <c r="AK177">
        <f t="shared" si="174"/>
        <v>1.7613866809841383</v>
      </c>
      <c r="AL177">
        <v>22</v>
      </c>
      <c r="AM177">
        <f t="shared" si="183"/>
        <v>0.76582029608006019</v>
      </c>
      <c r="AN177">
        <f t="shared" si="184"/>
        <v>7.8423711443407349</v>
      </c>
    </row>
    <row r="178" spans="1:44" x14ac:dyDescent="0.3">
      <c r="W178" s="50">
        <f t="shared" si="177"/>
        <v>8.067273558613751</v>
      </c>
      <c r="X178" s="50">
        <f t="shared" si="178"/>
        <v>8.2707351456760918</v>
      </c>
      <c r="Y178" s="50">
        <f t="shared" si="179"/>
        <v>8.6546180531116317</v>
      </c>
      <c r="Z178" s="50">
        <f t="shared" si="180"/>
        <v>7.7768235547340971</v>
      </c>
      <c r="AA178" s="50">
        <f t="shared" si="181"/>
        <v>8.6871518866711579</v>
      </c>
      <c r="AB178" s="43">
        <v>1.8330546599894912</v>
      </c>
      <c r="AC178" s="43">
        <v>1.8792854227848426</v>
      </c>
      <c r="AD178" s="43">
        <v>1.9665117139540178</v>
      </c>
      <c r="AE178" s="43">
        <v>1.7670582946453299</v>
      </c>
      <c r="AF178" s="43">
        <v>1.9739040869509559</v>
      </c>
      <c r="AG178" s="7">
        <f t="shared" si="182"/>
        <v>0.34756164754357238</v>
      </c>
      <c r="AH178" t="s">
        <v>199</v>
      </c>
      <c r="AI178">
        <v>0.34756164754357238</v>
      </c>
      <c r="AJ178" s="25">
        <f t="shared" si="173"/>
        <v>8.8294872787917561E-2</v>
      </c>
      <c r="AK178">
        <f t="shared" si="174"/>
        <v>1.8839628356649274</v>
      </c>
      <c r="AL178">
        <v>26</v>
      </c>
      <c r="AM178">
        <f t="shared" si="183"/>
        <v>0.81911427637605549</v>
      </c>
      <c r="AN178">
        <f t="shared" si="184"/>
        <v>7.7188055023324553</v>
      </c>
    </row>
    <row r="179" spans="1:44" x14ac:dyDescent="0.3">
      <c r="W179" s="50">
        <f t="shared" si="177"/>
        <v>8.6563761235371732</v>
      </c>
      <c r="X179" s="50">
        <f t="shared" si="178"/>
        <v>8.7563683452457965</v>
      </c>
      <c r="Y179" s="50">
        <f t="shared" si="179"/>
        <v>9.5814788966578632</v>
      </c>
      <c r="Z179" s="50">
        <f t="shared" si="180"/>
        <v>8.8029243108899422</v>
      </c>
      <c r="AA179" s="50">
        <f t="shared" si="181"/>
        <v>9.1727850862408626</v>
      </c>
      <c r="AB179" s="43">
        <v>1.9669111846255791</v>
      </c>
      <c r="AC179" s="43">
        <v>1.9896315258454436</v>
      </c>
      <c r="AD179" s="43">
        <v>2.1771140415037182</v>
      </c>
      <c r="AE179" s="43">
        <v>2.0002100229243225</v>
      </c>
      <c r="AF179" s="43">
        <v>2.0842501900115571</v>
      </c>
      <c r="AG179" s="7">
        <f t="shared" si="182"/>
        <v>0.34177892399743121</v>
      </c>
      <c r="AH179" t="s">
        <v>200</v>
      </c>
      <c r="AI179">
        <v>0.34177892399743121</v>
      </c>
      <c r="AJ179" s="25">
        <f t="shared" si="173"/>
        <v>8.6825824509769403E-2</v>
      </c>
      <c r="AK179">
        <f t="shared" si="174"/>
        <v>2.0436233929821244</v>
      </c>
      <c r="AL179">
        <v>30</v>
      </c>
      <c r="AM179">
        <f t="shared" si="183"/>
        <v>0.88853190999222809</v>
      </c>
      <c r="AN179">
        <f t="shared" si="184"/>
        <v>7.560771003417182</v>
      </c>
    </row>
    <row r="180" spans="1:44" x14ac:dyDescent="0.3">
      <c r="W180" s="50">
        <f t="shared" si="177"/>
        <v>10.328601837660267</v>
      </c>
      <c r="X180" s="50">
        <f t="shared" si="178"/>
        <v>10.220317052087603</v>
      </c>
      <c r="Y180" s="50">
        <f t="shared" si="179"/>
        <v>11.253704610780957</v>
      </c>
      <c r="Z180" s="50">
        <f t="shared" si="180"/>
        <v>10.475150025013036</v>
      </c>
      <c r="AA180" s="50">
        <f t="shared" si="181"/>
        <v>9.8969736002801554</v>
      </c>
      <c r="AB180" s="43">
        <v>2.3468761276210559</v>
      </c>
      <c r="AC180" s="43">
        <v>2.3222715410333112</v>
      </c>
      <c r="AD180" s="43">
        <v>2.5570789844991948</v>
      </c>
      <c r="AE180" s="43">
        <v>2.380174965919799</v>
      </c>
      <c r="AF180" s="43">
        <v>2.2488010907248706</v>
      </c>
      <c r="AG180" s="7">
        <f t="shared" si="182"/>
        <v>0.45139140339678674</v>
      </c>
      <c r="AH180" t="s">
        <v>169</v>
      </c>
      <c r="AI180">
        <v>0.45139140339678674</v>
      </c>
      <c r="AJ180" s="25">
        <f t="shared" si="173"/>
        <v>0.11467187712499931</v>
      </c>
      <c r="AK180">
        <f t="shared" si="174"/>
        <v>2.3710405419596463</v>
      </c>
      <c r="AL180">
        <v>42</v>
      </c>
      <c r="AM180">
        <f t="shared" si="183"/>
        <v>1.030887192156368</v>
      </c>
      <c r="AN180">
        <f t="shared" si="184"/>
        <v>7.2467369775047992</v>
      </c>
    </row>
    <row r="181" spans="1:44" x14ac:dyDescent="0.3">
      <c r="W181" s="50">
        <f t="shared" si="177"/>
        <v>10.637822823491824</v>
      </c>
      <c r="X181" s="50">
        <f t="shared" si="178"/>
        <v>10.668767944527808</v>
      </c>
      <c r="Y181" s="50">
        <f t="shared" si="179"/>
        <v>11.667518373110534</v>
      </c>
      <c r="Z181" s="50">
        <f t="shared" si="180"/>
        <v>10.958125406490351</v>
      </c>
      <c r="AA181" s="50">
        <f t="shared" si="181"/>
        <v>10.310787362609734</v>
      </c>
      <c r="AB181" s="43">
        <v>2.417137655871807</v>
      </c>
      <c r="AC181" s="43">
        <v>2.4241690398836191</v>
      </c>
      <c r="AD181" s="43">
        <v>2.6511061970257974</v>
      </c>
      <c r="AE181" s="43">
        <v>2.4899171566667464</v>
      </c>
      <c r="AF181" s="43">
        <v>2.3428283032514732</v>
      </c>
      <c r="AG181" s="7">
        <f t="shared" si="182"/>
        <v>0.4579589797433074</v>
      </c>
      <c r="AH181" t="s">
        <v>168</v>
      </c>
      <c r="AI181">
        <v>0.4579589797433074</v>
      </c>
      <c r="AJ181" s="25">
        <f t="shared" si="173"/>
        <v>0.11634031011275681</v>
      </c>
      <c r="AK181">
        <f t="shared" si="174"/>
        <v>2.4650316705398887</v>
      </c>
      <c r="AL181">
        <v>46</v>
      </c>
      <c r="AM181">
        <f t="shared" si="183"/>
        <v>1.0717529002347344</v>
      </c>
      <c r="AN181">
        <f t="shared" si="184"/>
        <v>7.15902153476289</v>
      </c>
    </row>
    <row r="182" spans="1:44" x14ac:dyDescent="0.3">
      <c r="W182" s="50">
        <f t="shared" si="177"/>
        <v>11.052345535217203</v>
      </c>
      <c r="X182" s="50">
        <f t="shared" si="178"/>
        <v>10.765852415600516</v>
      </c>
      <c r="Y182" s="50">
        <f t="shared" si="179"/>
        <v>11.511089445590178</v>
      </c>
      <c r="Z182" s="50">
        <f t="shared" si="180"/>
        <v>11.545007608825401</v>
      </c>
      <c r="AA182" s="50">
        <f t="shared" si="181"/>
        <v>10.655576414631815</v>
      </c>
      <c r="AB182" s="43">
        <v>2.5113259566501256</v>
      </c>
      <c r="AC182" s="43">
        <v>2.4462286788458343</v>
      </c>
      <c r="AD182" s="43">
        <v>2.6155622462145369</v>
      </c>
      <c r="AE182" s="43">
        <v>2.6232691681039308</v>
      </c>
      <c r="AF182" s="43">
        <v>2.4211716461331094</v>
      </c>
      <c r="AG182" s="7">
        <f t="shared" si="182"/>
        <v>0.36831663640092249</v>
      </c>
      <c r="AH182" t="s">
        <v>165</v>
      </c>
      <c r="AI182">
        <v>0.36831663640092249</v>
      </c>
      <c r="AJ182" s="25">
        <f t="shared" si="173"/>
        <v>9.3567488779429123E-2</v>
      </c>
      <c r="AK182">
        <f t="shared" si="174"/>
        <v>2.5235115391895073</v>
      </c>
      <c r="AL182">
        <v>50</v>
      </c>
      <c r="AM182">
        <f t="shared" si="183"/>
        <v>1.0971789300823946</v>
      </c>
      <c r="AN182">
        <f t="shared" si="184"/>
        <v>7.1049829198451313</v>
      </c>
    </row>
    <row r="183" spans="1:44" x14ac:dyDescent="0.3">
      <c r="W183" s="50">
        <f t="shared" si="177"/>
        <v>11.185121819489963</v>
      </c>
      <c r="X183" s="50">
        <f t="shared" si="178"/>
        <v>10.718812529302983</v>
      </c>
      <c r="Y183" s="50">
        <f t="shared" si="179"/>
        <v>11.281211268208558</v>
      </c>
      <c r="Z183" s="50">
        <f t="shared" si="180"/>
        <v>11.994072922765781</v>
      </c>
      <c r="AA183" s="50">
        <f t="shared" si="181"/>
        <v>10.823959861393746</v>
      </c>
      <c r="AB183" s="43">
        <v>2.541495528173134</v>
      </c>
      <c r="AC183" s="43">
        <v>2.4355402247904983</v>
      </c>
      <c r="AD183" s="43">
        <v>2.5633290770753367</v>
      </c>
      <c r="AE183" s="43">
        <v>2.7253062764748424</v>
      </c>
      <c r="AF183" s="43">
        <v>2.4594319157904443</v>
      </c>
      <c r="AG183" s="7">
        <f t="shared" si="182"/>
        <v>0.44951395625967761</v>
      </c>
      <c r="AH183" t="s">
        <v>166</v>
      </c>
      <c r="AI183">
        <v>0.44951395625967761</v>
      </c>
      <c r="AJ183" s="25">
        <f t="shared" si="173"/>
        <v>0.11419492876976899</v>
      </c>
      <c r="AK183">
        <f t="shared" si="174"/>
        <v>2.5450206044608512</v>
      </c>
      <c r="AL183">
        <v>54</v>
      </c>
      <c r="AM183">
        <f t="shared" si="183"/>
        <v>1.1065306975916744</v>
      </c>
      <c r="AN183">
        <f t="shared" si="184"/>
        <v>7.0852101280839763</v>
      </c>
    </row>
    <row r="184" spans="1:44" x14ac:dyDescent="0.3">
      <c r="W184" s="50">
        <f t="shared" si="177"/>
        <v>11.154821075163952</v>
      </c>
      <c r="X184" s="50">
        <f t="shared" si="178"/>
        <v>10.889947247257023</v>
      </c>
      <c r="Y184" s="50">
        <f t="shared" si="179"/>
        <v>11.950136746155614</v>
      </c>
      <c r="Z184" s="50">
        <f t="shared" si="180"/>
        <v>12.365311298290559</v>
      </c>
      <c r="AA184" s="50">
        <f t="shared" si="181"/>
        <v>11.294754759620801</v>
      </c>
      <c r="AB184" s="43">
        <v>2.5346105601372306</v>
      </c>
      <c r="AC184" s="43">
        <v>2.4744256412763059</v>
      </c>
      <c r="AD184" s="43">
        <v>2.7153230507056607</v>
      </c>
      <c r="AE184" s="43">
        <v>2.8096594633698158</v>
      </c>
      <c r="AF184" s="43">
        <v>2.5664064439038405</v>
      </c>
      <c r="AG184" s="7">
        <f t="shared" si="182"/>
        <v>0.54406286091929423</v>
      </c>
      <c r="AH184" t="s">
        <v>167</v>
      </c>
      <c r="AI184">
        <v>0.54406286091929423</v>
      </c>
      <c r="AJ184" s="25">
        <f t="shared" si="173"/>
        <v>0.13821421734248529</v>
      </c>
      <c r="AK184">
        <f t="shared" si="174"/>
        <v>2.6200850318785709</v>
      </c>
      <c r="AL184">
        <v>65</v>
      </c>
      <c r="AM184">
        <f t="shared" si="183"/>
        <v>1.1391674051645961</v>
      </c>
      <c r="AN184">
        <f t="shared" si="184"/>
        <v>7.0166352359205382</v>
      </c>
    </row>
    <row r="185" spans="1:44" x14ac:dyDescent="0.3">
      <c r="AJ185" s="25"/>
    </row>
    <row r="186" spans="1:44" x14ac:dyDescent="0.3">
      <c r="AJ186" s="25"/>
    </row>
    <row r="187" spans="1:44" x14ac:dyDescent="0.3">
      <c r="AJ187" s="25"/>
    </row>
    <row r="188" spans="1:44" x14ac:dyDescent="0.3">
      <c r="AB188" s="12" t="s">
        <v>57</v>
      </c>
      <c r="AC188" s="6"/>
      <c r="AD188" s="6"/>
      <c r="AE188" s="6"/>
      <c r="AF188" s="6"/>
      <c r="AJ188" s="25"/>
    </row>
    <row r="189" spans="1:44" x14ac:dyDescent="0.3">
      <c r="A189" s="74" t="s">
        <v>223</v>
      </c>
      <c r="B189" t="s">
        <v>189</v>
      </c>
      <c r="C189" t="s">
        <v>190</v>
      </c>
      <c r="D189" t="s">
        <v>191</v>
      </c>
      <c r="E189" t="s">
        <v>192</v>
      </c>
      <c r="F189" t="s">
        <v>193</v>
      </c>
      <c r="G189" t="s">
        <v>194</v>
      </c>
      <c r="H189" t="s">
        <v>195</v>
      </c>
      <c r="I189" t="s">
        <v>196</v>
      </c>
      <c r="J189" t="s">
        <v>197</v>
      </c>
      <c r="K189" t="s">
        <v>198</v>
      </c>
      <c r="L189" t="s">
        <v>199</v>
      </c>
      <c r="M189" t="s">
        <v>200</v>
      </c>
      <c r="N189" t="s">
        <v>169</v>
      </c>
      <c r="O189" t="s">
        <v>168</v>
      </c>
      <c r="P189" t="s">
        <v>165</v>
      </c>
      <c r="Q189" t="s">
        <v>166</v>
      </c>
      <c r="R189" t="s">
        <v>167</v>
      </c>
      <c r="W189" s="5" t="s">
        <v>188</v>
      </c>
      <c r="X189" s="42"/>
      <c r="Y189" s="42"/>
      <c r="Z189" s="42"/>
      <c r="AA189" s="40"/>
      <c r="AB189" s="41" t="s">
        <v>52</v>
      </c>
      <c r="AC189" s="42"/>
      <c r="AD189" s="42"/>
      <c r="AE189" s="40"/>
      <c r="AF189" s="6"/>
      <c r="AG189" s="59" t="s">
        <v>162</v>
      </c>
      <c r="AJ189" s="25"/>
    </row>
    <row r="190" spans="1:44" x14ac:dyDescent="0.3">
      <c r="A190">
        <v>6.0000000000000001E-3</v>
      </c>
      <c r="B190">
        <v>3.0977042717559249E-4</v>
      </c>
      <c r="C190">
        <v>2.57837655101979E-3</v>
      </c>
      <c r="D190">
        <v>1.0377579831699839E-2</v>
      </c>
      <c r="E190">
        <v>1.6260479493612517E-2</v>
      </c>
      <c r="F190">
        <v>2.0689285076489764E-2</v>
      </c>
      <c r="G190">
        <v>2.1015552310476443E-2</v>
      </c>
      <c r="H190">
        <v>3.9080861959528895E-2</v>
      </c>
      <c r="W190" s="50">
        <f t="shared" ref="W190:W200" si="185">$G$341*AB190*0.1</f>
        <v>1.3323594812074728E-2</v>
      </c>
      <c r="X190" s="50">
        <f t="shared" ref="X190:X200" si="186">$G$341*AC190*0.1</f>
        <v>1.0667939097307171E-2</v>
      </c>
      <c r="Y190" s="50">
        <f t="shared" ref="Y190:Y200" si="187">$G$341*AD190*0.1</f>
        <v>1.2349341955788797E-2</v>
      </c>
      <c r="Z190" s="50">
        <f t="shared" ref="Z190:Z200" si="188">$G$341*AE190*0.1</f>
        <v>1.1010162771890621E-2</v>
      </c>
      <c r="AA190" s="50">
        <f t="shared" ref="AA190:AA200" si="189">$G$341*AF190*0.1</f>
        <v>1.2239522793244488E-2</v>
      </c>
      <c r="AB190" s="43">
        <v>3.0274016841796698E-3</v>
      </c>
      <c r="AC190" s="43">
        <v>2.4239807083179209E-3</v>
      </c>
      <c r="AD190" s="43">
        <v>2.8060308920219942E-3</v>
      </c>
      <c r="AE190" s="43">
        <v>2.5017411433516522E-3</v>
      </c>
      <c r="AF190" s="43">
        <v>2.7810776626322402E-3</v>
      </c>
      <c r="AG190" s="7">
        <f t="shared" ref="AG190:AG200" si="190">_xlfn.STDEV.P(W190:AA190)</f>
        <v>9.6456728072981683E-4</v>
      </c>
      <c r="AH190" t="s">
        <v>189</v>
      </c>
      <c r="AI190">
        <v>9.6456728072981683E-4</v>
      </c>
      <c r="AJ190" s="25">
        <f t="shared" si="173"/>
        <v>2.4503953744421642E-4</v>
      </c>
      <c r="AK190">
        <f t="shared" si="174"/>
        <v>2.7080464181006955E-3</v>
      </c>
      <c r="AL190">
        <f>1/60</f>
        <v>1.6666666666666666E-2</v>
      </c>
      <c r="AR190" s="24" t="s">
        <v>165</v>
      </c>
    </row>
    <row r="191" spans="1:44" x14ac:dyDescent="0.3">
      <c r="A191">
        <v>0.06</v>
      </c>
      <c r="B191">
        <v>2.0353134229360686E-4</v>
      </c>
      <c r="C191">
        <v>2.079219858025018E-3</v>
      </c>
      <c r="D191">
        <v>4.1080283885088515E-3</v>
      </c>
      <c r="E191">
        <v>1.6251458874910859E-2</v>
      </c>
      <c r="F191">
        <v>2.1836460318156579E-2</v>
      </c>
      <c r="G191">
        <v>1.9362569232123667E-2</v>
      </c>
      <c r="H191">
        <v>5.4527681120916632E-2</v>
      </c>
      <c r="W191" s="50">
        <f t="shared" si="185"/>
        <v>0.12643586000263027</v>
      </c>
      <c r="X191" s="50">
        <f t="shared" si="186"/>
        <v>0.11483271992191953</v>
      </c>
      <c r="Y191" s="50">
        <f t="shared" si="187"/>
        <v>0.11651412278040117</v>
      </c>
      <c r="Z191" s="50">
        <f t="shared" si="188"/>
        <v>0.11517494359650299</v>
      </c>
      <c r="AA191" s="50">
        <f t="shared" si="189"/>
        <v>0.1184129225571503</v>
      </c>
      <c r="AB191" s="43">
        <v>2.8728893433908262E-2</v>
      </c>
      <c r="AC191" s="43">
        <v>2.6092415342403894E-2</v>
      </c>
      <c r="AD191" s="43">
        <v>2.6474465526107969E-2</v>
      </c>
      <c r="AE191" s="43">
        <v>2.6170175777437625E-2</v>
      </c>
      <c r="AF191" s="43">
        <v>2.6905912873699228E-2</v>
      </c>
      <c r="AG191" s="7">
        <f t="shared" si="190"/>
        <v>4.2703392162827813E-3</v>
      </c>
      <c r="AH191" t="s">
        <v>190</v>
      </c>
      <c r="AI191">
        <v>4.2703392162827813E-3</v>
      </c>
      <c r="AJ191" s="25">
        <f t="shared" si="173"/>
        <v>1.0848408060203892E-3</v>
      </c>
      <c r="AK191">
        <f t="shared" si="174"/>
        <v>2.6874372590711394E-2</v>
      </c>
      <c r="AL191">
        <f>10/60</f>
        <v>0.16666666666666666</v>
      </c>
    </row>
    <row r="192" spans="1:44" x14ac:dyDescent="0.3">
      <c r="A192">
        <v>0.6</v>
      </c>
      <c r="B192">
        <v>9.6456728072981683E-4</v>
      </c>
      <c r="C192">
        <v>4.2703392162827813E-3</v>
      </c>
      <c r="D192">
        <v>1.4218473303331688E-2</v>
      </c>
      <c r="E192">
        <v>3.1046888574231327E-2</v>
      </c>
      <c r="F192">
        <v>5.0549424537942381E-2</v>
      </c>
      <c r="G192">
        <v>5.1566049660822982E-2</v>
      </c>
      <c r="H192">
        <v>0.10436874551908731</v>
      </c>
      <c r="I192">
        <v>0.14677515325480736</v>
      </c>
      <c r="J192">
        <v>0.29843549845574591</v>
      </c>
      <c r="K192">
        <v>0.3349059855535822</v>
      </c>
      <c r="L192">
        <v>0.38045046827413831</v>
      </c>
      <c r="W192" s="50">
        <f t="shared" si="185"/>
        <v>0.3279821384409361</v>
      </c>
      <c r="X192" s="50">
        <f t="shared" si="186"/>
        <v>0.285586079984607</v>
      </c>
      <c r="Y192" s="50">
        <f t="shared" si="187"/>
        <v>0.29687103767926842</v>
      </c>
      <c r="Z192" s="50">
        <f t="shared" si="188"/>
        <v>0.30502005531549931</v>
      </c>
      <c r="AA192" s="50">
        <f t="shared" si="189"/>
        <v>0.29637984536743733</v>
      </c>
      <c r="AB192" s="43">
        <v>7.4524457723457421E-2</v>
      </c>
      <c r="AC192" s="43">
        <v>6.4891179273939337E-2</v>
      </c>
      <c r="AD192" s="43">
        <v>6.7455359618102353E-2</v>
      </c>
      <c r="AE192" s="43">
        <v>6.930698825619161E-2</v>
      </c>
      <c r="AF192" s="43">
        <v>6.7343750367515873E-2</v>
      </c>
      <c r="AG192" s="7">
        <f t="shared" si="190"/>
        <v>1.4218473303331688E-2</v>
      </c>
      <c r="AH192" t="s">
        <v>191</v>
      </c>
      <c r="AI192">
        <v>1.4218473303331688E-2</v>
      </c>
      <c r="AJ192" s="25">
        <f t="shared" si="173"/>
        <v>3.61207371535056E-3</v>
      </c>
      <c r="AK192">
        <f t="shared" si="174"/>
        <v>6.8704347047841327E-2</v>
      </c>
      <c r="AL192">
        <v>0.5</v>
      </c>
    </row>
    <row r="193" spans="1:44" x14ac:dyDescent="0.3">
      <c r="A193">
        <v>2.2999999999999998</v>
      </c>
      <c r="B193">
        <v>1.1708829237480145E-3</v>
      </c>
      <c r="C193">
        <v>3.4212892206938431E-3</v>
      </c>
      <c r="D193">
        <v>1.1207648548389869E-2</v>
      </c>
      <c r="E193">
        <v>1.1543262498765262E-2</v>
      </c>
      <c r="F193">
        <v>1.7323684470084429E-2</v>
      </c>
      <c r="G193">
        <v>6.8404842683435316E-2</v>
      </c>
      <c r="H193">
        <v>0.24872540712914765</v>
      </c>
      <c r="I193">
        <v>0.20635119843153521</v>
      </c>
      <c r="J193">
        <v>0.47388197352977141</v>
      </c>
      <c r="K193">
        <v>0.37853801103378876</v>
      </c>
      <c r="L193">
        <v>0.34756164754357238</v>
      </c>
      <c r="M193">
        <v>0.34177892399743121</v>
      </c>
      <c r="N193">
        <v>0.45139140339678674</v>
      </c>
      <c r="O193">
        <v>0.4579589797433074</v>
      </c>
      <c r="P193">
        <v>0.36831663640092249</v>
      </c>
      <c r="Q193">
        <v>0.44951395625967761</v>
      </c>
      <c r="R193">
        <v>0.54406286091929423</v>
      </c>
      <c r="W193" s="50">
        <f t="shared" si="185"/>
        <v>0.57327446724201436</v>
      </c>
      <c r="X193" s="50">
        <f t="shared" si="186"/>
        <v>0.49750038440134914</v>
      </c>
      <c r="Y193" s="50">
        <f t="shared" si="187"/>
        <v>0.51253986828040721</v>
      </c>
      <c r="Z193" s="50">
        <f t="shared" si="188"/>
        <v>0.51316819160618798</v>
      </c>
      <c r="AA193" s="50">
        <f t="shared" si="189"/>
        <v>0.48168343133483538</v>
      </c>
      <c r="AB193" s="43">
        <v>0.13026004708975561</v>
      </c>
      <c r="AC193" s="43">
        <v>0.11304257768719589</v>
      </c>
      <c r="AD193" s="43">
        <v>0.11645986554883145</v>
      </c>
      <c r="AE193" s="43">
        <v>0.11660263385734788</v>
      </c>
      <c r="AF193" s="43">
        <v>0.10944863243236433</v>
      </c>
      <c r="AG193" s="7">
        <f t="shared" si="190"/>
        <v>3.1046888574231327E-2</v>
      </c>
      <c r="AH193" t="s">
        <v>192</v>
      </c>
      <c r="AI193">
        <v>3.1046888574231327E-2</v>
      </c>
      <c r="AJ193" s="25">
        <f t="shared" si="173"/>
        <v>7.8871794298844382E-3</v>
      </c>
      <c r="AK193">
        <f t="shared" si="174"/>
        <v>0.11716275132309903</v>
      </c>
      <c r="AL193">
        <v>1</v>
      </c>
    </row>
    <row r="194" spans="1:44" x14ac:dyDescent="0.3">
      <c r="A194">
        <v>3</v>
      </c>
      <c r="B194">
        <v>3.2820079769555898E-3</v>
      </c>
      <c r="C194">
        <v>6.1337875408488049E-3</v>
      </c>
      <c r="D194">
        <v>1.2358825774544413E-2</v>
      </c>
      <c r="E194">
        <v>0.15835518331015813</v>
      </c>
      <c r="F194">
        <v>0.16771279714832116</v>
      </c>
      <c r="G194">
        <v>0.17090356692812758</v>
      </c>
      <c r="H194">
        <v>0.18954333193337269</v>
      </c>
      <c r="W194" s="50">
        <f t="shared" si="185"/>
        <v>0.7546683791830201</v>
      </c>
      <c r="X194" s="50">
        <f t="shared" si="186"/>
        <v>0.67889429634235476</v>
      </c>
      <c r="Y194" s="50">
        <f t="shared" si="187"/>
        <v>0.72813682125095047</v>
      </c>
      <c r="Z194" s="50">
        <f t="shared" si="188"/>
        <v>0.614988685546076</v>
      </c>
      <c r="AA194" s="50">
        <f t="shared" si="189"/>
        <v>0.65146087737237046</v>
      </c>
      <c r="AB194" s="43">
        <v>0.17147656877596457</v>
      </c>
      <c r="AC194" s="43">
        <v>0.15425909937340485</v>
      </c>
      <c r="AD194" s="43">
        <v>0.16544803936626915</v>
      </c>
      <c r="AE194" s="43">
        <v>0.13973839707931743</v>
      </c>
      <c r="AF194" s="43">
        <v>0.14802564811914803</v>
      </c>
      <c r="AG194" s="7">
        <f t="shared" si="190"/>
        <v>5.0549424537942381E-2</v>
      </c>
      <c r="AH194" t="s">
        <v>193</v>
      </c>
      <c r="AI194">
        <v>5.0549424537942381E-2</v>
      </c>
      <c r="AJ194" s="25">
        <f t="shared" si="173"/>
        <v>1.2841621164546129E-2</v>
      </c>
      <c r="AK194">
        <f t="shared" si="174"/>
        <v>0.15578955054282079</v>
      </c>
      <c r="AL194">
        <v>1.5</v>
      </c>
    </row>
    <row r="195" spans="1:44" x14ac:dyDescent="0.3">
      <c r="W195" s="50">
        <f t="shared" si="185"/>
        <v>0.85243995573649878</v>
      </c>
      <c r="X195" s="50">
        <f t="shared" si="186"/>
        <v>0.75168189279286846</v>
      </c>
      <c r="Y195" s="50">
        <f t="shared" si="187"/>
        <v>0.88235661909358987</v>
      </c>
      <c r="Z195" s="50">
        <f t="shared" si="188"/>
        <v>0.75732430941166462</v>
      </c>
      <c r="AA195" s="50">
        <f t="shared" si="189"/>
        <v>0.82135156499472295</v>
      </c>
      <c r="AB195" s="43">
        <v>0.19369233259179702</v>
      </c>
      <c r="AC195" s="43">
        <v>0.1707979760947213</v>
      </c>
      <c r="AD195" s="43">
        <v>0.2004900293327857</v>
      </c>
      <c r="AE195" s="43">
        <v>0.17208005212716759</v>
      </c>
      <c r="AF195" s="43">
        <v>0.18662839468182754</v>
      </c>
      <c r="AG195" s="7">
        <f t="shared" si="190"/>
        <v>5.1566049660822982E-2</v>
      </c>
      <c r="AH195" t="s">
        <v>194</v>
      </c>
      <c r="AI195">
        <v>5.1566049660822982E-2</v>
      </c>
      <c r="AJ195" s="25">
        <f t="shared" si="173"/>
        <v>1.3099885522918672E-2</v>
      </c>
      <c r="AK195">
        <f t="shared" si="174"/>
        <v>0.18473775696565983</v>
      </c>
      <c r="AL195">
        <v>2</v>
      </c>
    </row>
    <row r="196" spans="1:44" x14ac:dyDescent="0.3">
      <c r="W196" s="50">
        <f t="shared" si="185"/>
        <v>1.2109091497462385</v>
      </c>
      <c r="X196" s="50">
        <f t="shared" si="186"/>
        <v>1.1925990014248447</v>
      </c>
      <c r="Y196" s="50">
        <f t="shared" si="187"/>
        <v>1.4364916774699823</v>
      </c>
      <c r="Z196" s="50">
        <f t="shared" si="188"/>
        <v>1.2145716813263066</v>
      </c>
      <c r="AA196" s="50">
        <f t="shared" si="189"/>
        <v>1.129705359920355</v>
      </c>
      <c r="AB196" s="43">
        <v>0.27514409219410096</v>
      </c>
      <c r="AC196" s="43">
        <v>0.27098364040555434</v>
      </c>
      <c r="AD196" s="43">
        <v>0.3264011991524613</v>
      </c>
      <c r="AE196" s="43">
        <v>0.2759762965976611</v>
      </c>
      <c r="AF196" s="43">
        <v>0.25669287887306408</v>
      </c>
      <c r="AG196" s="7">
        <f t="shared" si="190"/>
        <v>0.10436874551908731</v>
      </c>
      <c r="AH196" t="s">
        <v>195</v>
      </c>
      <c r="AI196">
        <v>0.10436874551908731</v>
      </c>
      <c r="AJ196" s="25">
        <f t="shared" si="173"/>
        <v>2.6513929755402833E-2</v>
      </c>
      <c r="AK196">
        <f t="shared" si="174"/>
        <v>0.28103962144456834</v>
      </c>
      <c r="AL196">
        <v>4</v>
      </c>
    </row>
    <row r="197" spans="1:44" x14ac:dyDescent="0.3">
      <c r="W197" s="50">
        <f t="shared" si="185"/>
        <v>1.3660802393876017</v>
      </c>
      <c r="X197" s="50">
        <f t="shared" si="186"/>
        <v>1.3822740632833581</v>
      </c>
      <c r="Y197" s="50">
        <f t="shared" si="187"/>
        <v>1.7619311455075648</v>
      </c>
      <c r="Z197" s="50">
        <f t="shared" si="188"/>
        <v>1.4725748063931698</v>
      </c>
      <c r="AA197" s="50">
        <f t="shared" si="189"/>
        <v>1.4046504842663372</v>
      </c>
      <c r="AB197" s="43">
        <v>0.31040223571633757</v>
      </c>
      <c r="AC197" s="43">
        <v>0.31408181397031543</v>
      </c>
      <c r="AD197" s="43">
        <v>0.40034790854523167</v>
      </c>
      <c r="AE197" s="43">
        <v>0.33460004689688022</v>
      </c>
      <c r="AF197" s="43">
        <v>0.31916620864947448</v>
      </c>
      <c r="AG197" s="7">
        <f t="shared" si="190"/>
        <v>0.14677515325480736</v>
      </c>
      <c r="AH197" t="s">
        <v>196</v>
      </c>
      <c r="AI197">
        <v>0.14677515325480736</v>
      </c>
      <c r="AJ197" s="25">
        <f t="shared" si="173"/>
        <v>3.7286891625278186E-2</v>
      </c>
      <c r="AK197">
        <f t="shared" si="174"/>
        <v>0.33571964275564786</v>
      </c>
      <c r="AL197">
        <v>6</v>
      </c>
    </row>
    <row r="198" spans="1:44" x14ac:dyDescent="0.3">
      <c r="W198" s="50">
        <f t="shared" si="185"/>
        <v>2.6226720938360568</v>
      </c>
      <c r="X198" s="50">
        <f t="shared" si="186"/>
        <v>2.324960097459309</v>
      </c>
      <c r="Y198" s="50">
        <f t="shared" si="187"/>
        <v>3.2260725719124923</v>
      </c>
      <c r="Z198" s="50">
        <f t="shared" si="188"/>
        <v>2.624877289147781</v>
      </c>
      <c r="AA198" s="50">
        <f t="shared" si="189"/>
        <v>2.5569529670209481</v>
      </c>
      <c r="AB198" s="43">
        <v>0.59592640168962885</v>
      </c>
      <c r="AC198" s="43">
        <v>0.52827995852290599</v>
      </c>
      <c r="AD198" s="43">
        <v>0.73303171368154785</v>
      </c>
      <c r="AE198" s="43">
        <v>0.59642746856345852</v>
      </c>
      <c r="AF198" s="43">
        <v>0.58099363031605278</v>
      </c>
      <c r="AG198" s="7">
        <f t="shared" si="190"/>
        <v>0.29843549845574591</v>
      </c>
      <c r="AH198" t="s">
        <v>197</v>
      </c>
      <c r="AI198">
        <v>0.29843549845574591</v>
      </c>
      <c r="AJ198" s="25">
        <f t="shared" si="173"/>
        <v>7.5814821795737203E-2</v>
      </c>
      <c r="AK198">
        <f t="shared" si="174"/>
        <v>0.60693183455471877</v>
      </c>
      <c r="AL198">
        <v>18</v>
      </c>
    </row>
    <row r="199" spans="1:44" x14ac:dyDescent="0.3">
      <c r="W199" s="50">
        <f t="shared" si="185"/>
        <v>2.5444562072512333</v>
      </c>
      <c r="X199" s="50">
        <f t="shared" si="186"/>
        <v>2.3906985917081949</v>
      </c>
      <c r="Y199" s="50">
        <f t="shared" si="187"/>
        <v>3.363066077410175</v>
      </c>
      <c r="Z199" s="50">
        <f t="shared" si="188"/>
        <v>2.654808643290131</v>
      </c>
      <c r="AA199" s="50">
        <f t="shared" si="189"/>
        <v>2.6583786444580895</v>
      </c>
      <c r="AB199" s="43">
        <v>0.57815410298823755</v>
      </c>
      <c r="AC199" s="43">
        <v>0.54321713058582022</v>
      </c>
      <c r="AD199" s="43">
        <v>0.76415952679167798</v>
      </c>
      <c r="AE199" s="43">
        <v>0.60322850336062961</v>
      </c>
      <c r="AF199" s="43">
        <v>0.60403968290345134</v>
      </c>
      <c r="AG199" s="7">
        <f t="shared" si="190"/>
        <v>0.3349059855535822</v>
      </c>
      <c r="AH199" t="s">
        <v>198</v>
      </c>
      <c r="AI199">
        <v>0.3349059855535822</v>
      </c>
      <c r="AJ199" s="25">
        <f t="shared" si="173"/>
        <v>8.5079817060823987E-2</v>
      </c>
      <c r="AK199">
        <f t="shared" si="174"/>
        <v>0.61855978932596334</v>
      </c>
      <c r="AL199">
        <v>22</v>
      </c>
    </row>
    <row r="200" spans="1:44" x14ac:dyDescent="0.3">
      <c r="U200">
        <f>AVERAGE(W200:AA200)</f>
        <v>2.7591084477270722</v>
      </c>
      <c r="W200" s="50">
        <f t="shared" si="185"/>
        <v>2.5384638998728253</v>
      </c>
      <c r="X200" s="50">
        <f t="shared" si="186"/>
        <v>2.4563927803164751</v>
      </c>
      <c r="Y200" s="50">
        <f t="shared" si="187"/>
        <v>3.4999672536707891</v>
      </c>
      <c r="Z200" s="50">
        <f t="shared" si="188"/>
        <v>2.5766454717089027</v>
      </c>
      <c r="AA200" s="50">
        <f t="shared" si="189"/>
        <v>2.7240728330663693</v>
      </c>
      <c r="AB200" s="43">
        <v>0.57679252439736994</v>
      </c>
      <c r="AC200" s="43">
        <v>0.558144235472955</v>
      </c>
      <c r="AD200" s="43">
        <v>0.79526636075228119</v>
      </c>
      <c r="AE200" s="43">
        <v>0.58546818261960976</v>
      </c>
      <c r="AF200" s="43">
        <v>0.61896678779058611</v>
      </c>
      <c r="AG200" s="7">
        <f t="shared" si="190"/>
        <v>0.38045046827413831</v>
      </c>
      <c r="AH200" t="s">
        <v>199</v>
      </c>
      <c r="AI200">
        <v>0.38045046827413831</v>
      </c>
      <c r="AJ200" s="25">
        <f t="shared" si="173"/>
        <v>9.6649978315451537E-2</v>
      </c>
      <c r="AK200">
        <f t="shared" si="174"/>
        <v>0.6269276182065604</v>
      </c>
      <c r="AL200">
        <v>26</v>
      </c>
    </row>
    <row r="202" spans="1:44" x14ac:dyDescent="0.3">
      <c r="AB202" s="12" t="s">
        <v>90</v>
      </c>
      <c r="AC202" s="6"/>
      <c r="AD202" s="6"/>
      <c r="AE202" s="6"/>
      <c r="AF202" s="6"/>
    </row>
    <row r="203" spans="1:44" x14ac:dyDescent="0.3">
      <c r="W203" s="5" t="s">
        <v>188</v>
      </c>
      <c r="X203" s="42"/>
      <c r="Y203" s="42"/>
      <c r="Z203" s="42"/>
      <c r="AA203" s="40"/>
      <c r="AB203" s="41" t="s">
        <v>52</v>
      </c>
      <c r="AC203" s="42"/>
      <c r="AD203" s="42"/>
      <c r="AE203" s="40"/>
      <c r="AF203" s="6"/>
      <c r="AG203" s="59" t="s">
        <v>162</v>
      </c>
    </row>
    <row r="204" spans="1:44" x14ac:dyDescent="0.3">
      <c r="W204" s="50">
        <f t="shared" ref="W204:W210" si="191">$G$341*AB204*0.1</f>
        <v>1.8992781985393331E-3</v>
      </c>
      <c r="X204" s="50">
        <f t="shared" ref="X204:X210" si="192">$G$341*AC204*0.1</f>
        <v>2.0439066755085825E-3</v>
      </c>
      <c r="Y204" s="50">
        <f t="shared" ref="Y204:Y210" si="193">$G$341*AD204*0.1</f>
        <v>2.4749516125970035E-3</v>
      </c>
      <c r="Z204" s="50">
        <f t="shared" ref="Z204:Z210" si="194">$G$341*AE204*0.1</f>
        <v>2.1880601821101268E-3</v>
      </c>
      <c r="AA204" s="50">
        <f t="shared" ref="AA204:AA210" si="195">$G$341*AF204*0.1</f>
        <v>2.3317410542637953E-3</v>
      </c>
      <c r="AB204" s="43">
        <v>4.3155605511005068E-4</v>
      </c>
      <c r="AC204" s="43">
        <v>4.6441869473042089E-4</v>
      </c>
      <c r="AD204" s="43">
        <v>5.6236119350079605E-4</v>
      </c>
      <c r="AE204" s="43">
        <v>4.9717341106796792E-4</v>
      </c>
      <c r="AF204" s="43">
        <v>5.2982073489293239E-4</v>
      </c>
      <c r="AG204" s="7">
        <f t="shared" ref="AG204:AG210" si="196">_xlfn.STDEV.P(W204:AA204)</f>
        <v>2.0353134229360686E-4</v>
      </c>
      <c r="AH204" t="s">
        <v>189</v>
      </c>
      <c r="AI204">
        <v>2.0353134229360686E-4</v>
      </c>
    </row>
    <row r="205" spans="1:44" x14ac:dyDescent="0.3">
      <c r="W205" s="50">
        <f t="shared" si="191"/>
        <v>2.0207242665753616E-2</v>
      </c>
      <c r="X205" s="50">
        <f t="shared" si="192"/>
        <v>1.5798917359557105E-2</v>
      </c>
      <c r="Y205" s="50">
        <f t="shared" si="193"/>
        <v>2.0135706071128422E-2</v>
      </c>
      <c r="Z205" s="50">
        <f t="shared" si="194"/>
        <v>1.5943070866158648E-2</v>
      </c>
      <c r="AA205" s="50">
        <f t="shared" si="195"/>
        <v>1.9992495512795212E-2</v>
      </c>
      <c r="AB205" s="43">
        <v>4.5915116259381081E-3</v>
      </c>
      <c r="AC205" s="43">
        <v>3.5898471619079993E-3</v>
      </c>
      <c r="AD205" s="43">
        <v>4.575257003210275E-3</v>
      </c>
      <c r="AE205" s="43">
        <v>3.6226018782455462E-3</v>
      </c>
      <c r="AF205" s="43">
        <v>4.5427165446024114E-3</v>
      </c>
      <c r="AG205" s="7">
        <f t="shared" si="196"/>
        <v>2.079219858025018E-3</v>
      </c>
      <c r="AH205" t="s">
        <v>190</v>
      </c>
      <c r="AI205">
        <v>2.079219858025018E-3</v>
      </c>
    </row>
    <row r="206" spans="1:44" x14ac:dyDescent="0.3">
      <c r="W206" s="50">
        <f t="shared" si="191"/>
        <v>3.3140899063455548E-2</v>
      </c>
      <c r="X206" s="50">
        <f t="shared" si="192"/>
        <v>2.2786544347521382E-2</v>
      </c>
      <c r="Y206" s="50">
        <f t="shared" si="193"/>
        <v>3.1586583813767909E-2</v>
      </c>
      <c r="Z206" s="50">
        <f t="shared" si="194"/>
        <v>3.1834864497311315E-2</v>
      </c>
      <c r="AA206" s="50">
        <f t="shared" si="195"/>
        <v>3.4406455142095026E-2</v>
      </c>
      <c r="AB206" s="43">
        <v>7.5303110800853329E-3</v>
      </c>
      <c r="AC206" s="43">
        <v>5.177583355492248E-3</v>
      </c>
      <c r="AD206" s="43">
        <v>7.1771378808834149E-3</v>
      </c>
      <c r="AE206" s="43">
        <v>7.2335524874599664E-3</v>
      </c>
      <c r="AF206" s="43">
        <v>7.8178721068155026E-3</v>
      </c>
      <c r="AG206" s="7">
        <f t="shared" si="196"/>
        <v>4.1080283885088515E-3</v>
      </c>
      <c r="AH206" t="s">
        <v>191</v>
      </c>
      <c r="AI206">
        <v>4.1080283885088515E-3</v>
      </c>
      <c r="AR206" s="24" t="s">
        <v>166</v>
      </c>
    </row>
    <row r="207" spans="1:44" x14ac:dyDescent="0.3">
      <c r="W207" s="50">
        <f t="shared" si="191"/>
        <v>5.4710768294444961E-2</v>
      </c>
      <c r="X207" s="50">
        <f t="shared" si="192"/>
        <v>2.6530488615664316E-2</v>
      </c>
      <c r="Y207" s="50">
        <f t="shared" si="193"/>
        <v>6.4177260768045197E-2</v>
      </c>
      <c r="Z207" s="50">
        <f t="shared" si="194"/>
        <v>4.005772195871956E-2</v>
      </c>
      <c r="AA207" s="50">
        <f t="shared" si="195"/>
        <v>7.1379846669816407E-2</v>
      </c>
      <c r="AB207" s="43">
        <v>1.2431440194147911E-2</v>
      </c>
      <c r="AC207" s="43">
        <v>6.0282864384604215E-3</v>
      </c>
      <c r="AD207" s="43">
        <v>1.4582426895715792E-2</v>
      </c>
      <c r="AE207" s="43">
        <v>9.1019590908247121E-3</v>
      </c>
      <c r="AF207" s="43">
        <v>1.6219006287165737E-2</v>
      </c>
      <c r="AG207" s="7">
        <f t="shared" si="196"/>
        <v>1.6251458874910859E-2</v>
      </c>
      <c r="AH207" t="s">
        <v>192</v>
      </c>
      <c r="AI207">
        <v>1.6251458874910859E-2</v>
      </c>
    </row>
    <row r="208" spans="1:44" x14ac:dyDescent="0.3">
      <c r="W208" s="50">
        <f t="shared" si="191"/>
        <v>6.959375263015255E-2</v>
      </c>
      <c r="X208" s="50">
        <f t="shared" si="192"/>
        <v>2.3533830438550216E-2</v>
      </c>
      <c r="Y208" s="50">
        <f t="shared" si="193"/>
        <v>6.5673069538539117E-2</v>
      </c>
      <c r="Z208" s="50">
        <f t="shared" si="194"/>
        <v>6.5994422785427317E-2</v>
      </c>
      <c r="AA208" s="50">
        <f t="shared" si="195"/>
        <v>9.0695399021966078E-2</v>
      </c>
      <c r="AB208" s="43">
        <v>1.5813168059566587E-2</v>
      </c>
      <c r="AC208" s="43">
        <v>5.3473825127357908E-3</v>
      </c>
      <c r="AD208" s="43">
        <v>1.4922306189170445E-2</v>
      </c>
      <c r="AE208" s="43">
        <v>1.4995324422955536E-2</v>
      </c>
      <c r="AF208" s="43">
        <v>2.0607907071566935E-2</v>
      </c>
      <c r="AG208" s="7">
        <f t="shared" si="196"/>
        <v>2.1836460318156579E-2</v>
      </c>
      <c r="AH208" t="s">
        <v>193</v>
      </c>
      <c r="AI208">
        <v>2.1836460318156579E-2</v>
      </c>
    </row>
    <row r="209" spans="23:44" x14ac:dyDescent="0.3">
      <c r="W209" s="50">
        <f t="shared" si="191"/>
        <v>8.0008264068524029E-2</v>
      </c>
      <c r="X209" s="50">
        <f t="shared" si="192"/>
        <v>3.3948341876921702E-2</v>
      </c>
      <c r="Y209" s="50">
        <f t="shared" si="193"/>
        <v>7.163421246572034E-2</v>
      </c>
      <c r="Z209" s="50">
        <f t="shared" si="194"/>
        <v>8.7477302122021788E-2</v>
      </c>
      <c r="AA209" s="50">
        <f t="shared" si="195"/>
        <v>8.3206241610285323E-2</v>
      </c>
      <c r="AB209" s="43">
        <v>1.8179564659969106E-2</v>
      </c>
      <c r="AC209" s="43">
        <v>7.71377911313831E-3</v>
      </c>
      <c r="AD209" s="43">
        <v>1.6276803559581991E-2</v>
      </c>
      <c r="AE209" s="43">
        <v>1.9876687598732512E-2</v>
      </c>
      <c r="AF209" s="43">
        <v>1.8906212590385212E-2</v>
      </c>
      <c r="AG209" s="7">
        <f t="shared" si="196"/>
        <v>1.9362569232123667E-2</v>
      </c>
      <c r="AH209" t="s">
        <v>194</v>
      </c>
      <c r="AI209">
        <v>1.9362569232123667E-2</v>
      </c>
    </row>
    <row r="210" spans="23:44" x14ac:dyDescent="0.3">
      <c r="W210" s="50">
        <f t="shared" si="191"/>
        <v>0.15685640703915982</v>
      </c>
      <c r="X210" s="50">
        <f t="shared" si="192"/>
        <v>4.0920526410074074E-3</v>
      </c>
      <c r="Y210" s="50">
        <f t="shared" si="193"/>
        <v>0.1396721023591021</v>
      </c>
      <c r="Z210" s="50">
        <f t="shared" si="194"/>
        <v>0.12899581330591292</v>
      </c>
      <c r="AA210" s="50">
        <f t="shared" si="195"/>
        <v>0.12472475279417645</v>
      </c>
      <c r="AB210" s="43">
        <v>3.5641083171815455E-2</v>
      </c>
      <c r="AC210" s="43">
        <v>9.2980064553678868E-4</v>
      </c>
      <c r="AD210" s="43">
        <v>3.1736446798250877E-2</v>
      </c>
      <c r="AE210" s="43">
        <v>2.9310568803888416E-2</v>
      </c>
      <c r="AF210" s="43">
        <v>2.8340093795541116E-2</v>
      </c>
      <c r="AG210" s="7">
        <f t="shared" si="196"/>
        <v>5.4527681120916632E-2</v>
      </c>
      <c r="AH210" t="s">
        <v>195</v>
      </c>
      <c r="AI210">
        <v>5.4527681120916632E-2</v>
      </c>
    </row>
    <row r="212" spans="23:44" x14ac:dyDescent="0.3">
      <c r="AB212" s="12" t="s">
        <v>91</v>
      </c>
      <c r="AC212" s="6"/>
      <c r="AD212" s="6"/>
      <c r="AE212" s="6"/>
      <c r="AF212" s="6"/>
    </row>
    <row r="213" spans="23:44" x14ac:dyDescent="0.3">
      <c r="W213" s="5" t="s">
        <v>188</v>
      </c>
      <c r="X213" s="42"/>
      <c r="Y213" s="42"/>
      <c r="Z213" s="42"/>
      <c r="AA213" s="40"/>
      <c r="AB213" s="41" t="s">
        <v>52</v>
      </c>
      <c r="AC213" s="42"/>
      <c r="AD213" s="42"/>
      <c r="AE213" s="40"/>
      <c r="AF213" s="6"/>
      <c r="AG213" s="59" t="s">
        <v>162</v>
      </c>
    </row>
    <row r="214" spans="23:44" x14ac:dyDescent="0.3">
      <c r="W214" s="50">
        <f t="shared" ref="W214:Y220" si="197">$G$341*AB214*0.1</f>
        <v>1.4782040495337221E-3</v>
      </c>
      <c r="X214" s="50">
        <f t="shared" si="197"/>
        <v>8.8274671206617784E-4</v>
      </c>
      <c r="Y214" s="50">
        <f t="shared" si="197"/>
        <v>1.4782040495337221E-3</v>
      </c>
      <c r="Z214" s="50">
        <f t="shared" ref="Z214:AA220" si="198">$G$341*AE214*0.1</f>
        <v>1.4782040495337221E-3</v>
      </c>
      <c r="AA214" s="50">
        <f t="shared" si="198"/>
        <v>1.8463763521723684E-3</v>
      </c>
      <c r="AB214" s="43">
        <v>3.3587912963729198E-4</v>
      </c>
      <c r="AC214" s="43">
        <v>2.0057866668170366E-4</v>
      </c>
      <c r="AD214" s="43">
        <v>3.3587912963729198E-4</v>
      </c>
      <c r="AE214" s="43">
        <v>3.3587912963729198E-4</v>
      </c>
      <c r="AF214" s="43">
        <v>4.1953564012096531E-4</v>
      </c>
      <c r="AG214" s="7">
        <f t="shared" ref="AG214:AG220" si="199">_xlfn.STDEV.P(W214:AA214)</f>
        <v>3.0977042717559249E-4</v>
      </c>
      <c r="AH214" t="s">
        <v>189</v>
      </c>
      <c r="AI214">
        <v>3.0977042717559249E-4</v>
      </c>
    </row>
    <row r="215" spans="23:44" x14ac:dyDescent="0.3">
      <c r="W215" s="50">
        <f t="shared" si="197"/>
        <v>1.0731422802812397E-2</v>
      </c>
      <c r="X215" s="50">
        <f t="shared" si="197"/>
        <v>9.4660415227878561E-3</v>
      </c>
      <c r="Y215" s="50">
        <f t="shared" si="197"/>
        <v>1.0061498860255402E-2</v>
      </c>
      <c r="Z215" s="50">
        <f t="shared" si="198"/>
        <v>1.4727674400547557E-2</v>
      </c>
      <c r="AA215" s="50">
        <f t="shared" si="198"/>
        <v>1.5758032313949493E-2</v>
      </c>
      <c r="AB215" s="43">
        <v>2.4384055448335371E-3</v>
      </c>
      <c r="AC215" s="43">
        <v>2.1508842360345049E-3</v>
      </c>
      <c r="AD215" s="43">
        <v>2.2861846989900934E-3</v>
      </c>
      <c r="AE215" s="43">
        <v>3.3464381732668837E-3</v>
      </c>
      <c r="AF215" s="43">
        <v>3.5805572174391026E-3</v>
      </c>
      <c r="AG215" s="7">
        <f t="shared" si="199"/>
        <v>2.57837655101979E-3</v>
      </c>
      <c r="AH215" t="s">
        <v>190</v>
      </c>
      <c r="AI215">
        <v>2.57837655101979E-3</v>
      </c>
    </row>
    <row r="216" spans="23:44" x14ac:dyDescent="0.3">
      <c r="W216" s="50">
        <f t="shared" si="197"/>
        <v>3.7215303218400934E-2</v>
      </c>
      <c r="X216" s="50">
        <f t="shared" si="197"/>
        <v>1.9551952877078102E-2</v>
      </c>
      <c r="Y216" s="50">
        <f t="shared" si="197"/>
        <v>1.2593571143528338E-2</v>
      </c>
      <c r="Z216" s="50">
        <f t="shared" si="198"/>
        <v>3.6769121574636882E-2</v>
      </c>
      <c r="AA216" s="50">
        <f t="shared" si="198"/>
        <v>3.6313740583644429E-2</v>
      </c>
      <c r="AB216" s="43">
        <v>8.4561016174507925E-3</v>
      </c>
      <c r="AC216" s="43">
        <v>4.4426159684340157E-3</v>
      </c>
      <c r="AD216" s="43">
        <v>2.8615249133215944E-3</v>
      </c>
      <c r="AE216" s="43">
        <v>8.3547197397493486E-3</v>
      </c>
      <c r="AF216" s="43">
        <v>8.2512475763791022E-3</v>
      </c>
      <c r="AG216" s="7">
        <f t="shared" si="199"/>
        <v>1.0377579831699839E-2</v>
      </c>
      <c r="AH216" t="s">
        <v>191</v>
      </c>
      <c r="AI216">
        <v>1.0377579831699839E-2</v>
      </c>
    </row>
    <row r="217" spans="23:44" x14ac:dyDescent="0.3">
      <c r="W217" s="50">
        <f t="shared" si="197"/>
        <v>6.8006936590267256E-2</v>
      </c>
      <c r="X217" s="50">
        <f t="shared" si="197"/>
        <v>5.2569164031534554E-2</v>
      </c>
      <c r="Y217" s="50">
        <f t="shared" si="197"/>
        <v>2.3187106734920748E-2</v>
      </c>
      <c r="Z217" s="50">
        <f t="shared" si="198"/>
        <v>4.283273580543083E-2</v>
      </c>
      <c r="AA217" s="50">
        <f t="shared" si="198"/>
        <v>6.4876089965121814E-2</v>
      </c>
      <c r="AB217" s="43">
        <v>1.5452609995516304E-2</v>
      </c>
      <c r="AC217" s="43">
        <v>1.1944822547497059E-2</v>
      </c>
      <c r="AD217" s="43">
        <v>5.2685995762146668E-3</v>
      </c>
      <c r="AE217" s="43">
        <v>9.7325007510635827E-3</v>
      </c>
      <c r="AF217" s="43">
        <v>1.4741215624885666E-2</v>
      </c>
      <c r="AG217" s="7">
        <f t="shared" si="199"/>
        <v>1.6260479493612517E-2</v>
      </c>
      <c r="AH217" t="s">
        <v>192</v>
      </c>
      <c r="AI217">
        <v>1.6260479493612517E-2</v>
      </c>
    </row>
    <row r="218" spans="23:44" x14ac:dyDescent="0.3">
      <c r="W218" s="50">
        <f t="shared" si="197"/>
        <v>7.1794729324326387E-2</v>
      </c>
      <c r="X218" s="50">
        <f t="shared" si="197"/>
        <v>6.7656940947114705E-2</v>
      </c>
      <c r="Y218" s="50">
        <f t="shared" si="197"/>
        <v>2.924248655494411E-2</v>
      </c>
      <c r="Z218" s="50">
        <f t="shared" si="198"/>
        <v>3.9794843065057442E-2</v>
      </c>
      <c r="AA218" s="50">
        <f t="shared" si="198"/>
        <v>8.4457427841775887E-2</v>
      </c>
      <c r="AB218" s="43">
        <v>1.6313276374534513E-2</v>
      </c>
      <c r="AC218" s="43">
        <v>1.5373083605343039E-2</v>
      </c>
      <c r="AD218" s="43">
        <v>6.6445095557700774E-3</v>
      </c>
      <c r="AE218" s="43">
        <v>9.0422274630896256E-3</v>
      </c>
      <c r="AF218" s="43">
        <v>1.9190508484838872E-2</v>
      </c>
      <c r="AG218" s="7">
        <f t="shared" si="199"/>
        <v>2.0689285076489764E-2</v>
      </c>
      <c r="AH218" t="s">
        <v>193</v>
      </c>
      <c r="AI218">
        <v>2.0689285076489764E-2</v>
      </c>
    </row>
    <row r="219" spans="23:44" x14ac:dyDescent="0.3">
      <c r="W219" s="50">
        <f t="shared" si="197"/>
        <v>6.1909985006882079E-2</v>
      </c>
      <c r="X219" s="50">
        <f t="shared" si="197"/>
        <v>8.2724256392051623E-2</v>
      </c>
      <c r="Y219" s="50">
        <f t="shared" si="197"/>
        <v>3.0756821454583368E-2</v>
      </c>
      <c r="Z219" s="50">
        <f t="shared" si="198"/>
        <v>5.710776802342276E-2</v>
      </c>
      <c r="AA219" s="50">
        <f t="shared" si="198"/>
        <v>9.0504595585420233E-2</v>
      </c>
      <c r="AB219" s="43">
        <v>1.4067254034738031E-2</v>
      </c>
      <c r="AC219" s="43">
        <v>1.8796695385605914E-2</v>
      </c>
      <c r="AD219" s="43">
        <v>6.9885983764106721E-3</v>
      </c>
      <c r="AE219" s="43">
        <v>1.2976089075987903E-2</v>
      </c>
      <c r="AF219" s="43">
        <v>2.0564552507480169E-2</v>
      </c>
      <c r="AG219" s="7">
        <f t="shared" si="199"/>
        <v>2.1015552310476443E-2</v>
      </c>
      <c r="AH219" t="s">
        <v>194</v>
      </c>
      <c r="AI219">
        <v>2.1015552310476443E-2</v>
      </c>
    </row>
    <row r="220" spans="23:44" x14ac:dyDescent="0.3">
      <c r="W220" s="50">
        <f t="shared" si="197"/>
        <v>7.6999680355214428E-2</v>
      </c>
      <c r="X220" s="50">
        <f t="shared" si="197"/>
        <v>1.58236257029424E-2</v>
      </c>
      <c r="Y220" s="50">
        <f t="shared" si="197"/>
        <v>8.1889909711981276E-2</v>
      </c>
      <c r="Z220" s="50">
        <f t="shared" si="198"/>
        <v>4.5005501829991607E-2</v>
      </c>
      <c r="AA220" s="50">
        <f t="shared" si="198"/>
        <v>-2.2488480296694369E-2</v>
      </c>
      <c r="AB220" s="43">
        <v>1.7495951000957605E-2</v>
      </c>
      <c r="AC220" s="43">
        <v>3.5954614185281526E-3</v>
      </c>
      <c r="AD220" s="43">
        <v>1.8607114226762388E-2</v>
      </c>
      <c r="AE220" s="43">
        <v>1.0226199007041945E-2</v>
      </c>
      <c r="AF220" s="43">
        <v>-5.109856918130963E-3</v>
      </c>
      <c r="AG220" s="7">
        <f t="shared" si="199"/>
        <v>3.9080861959528895E-2</v>
      </c>
      <c r="AH220" t="s">
        <v>195</v>
      </c>
      <c r="AI220">
        <v>3.9080861959528895E-2</v>
      </c>
    </row>
    <row r="223" spans="23:44" x14ac:dyDescent="0.3">
      <c r="AR223" s="24" t="s">
        <v>167</v>
      </c>
    </row>
    <row r="239" spans="11:16" x14ac:dyDescent="0.3">
      <c r="K239">
        <v>800</v>
      </c>
      <c r="L239">
        <v>3.8</v>
      </c>
      <c r="O239">
        <v>100</v>
      </c>
      <c r="P239">
        <v>1.226</v>
      </c>
    </row>
    <row r="240" spans="11:16" x14ac:dyDescent="0.3">
      <c r="K240">
        <v>480</v>
      </c>
      <c r="L240">
        <v>3.8</v>
      </c>
      <c r="O240">
        <v>4</v>
      </c>
      <c r="P240">
        <v>1.226</v>
      </c>
    </row>
    <row r="241" spans="1:83" x14ac:dyDescent="0.3">
      <c r="K241">
        <v>480</v>
      </c>
      <c r="L241">
        <v>0</v>
      </c>
      <c r="O241">
        <v>4</v>
      </c>
      <c r="P241">
        <v>0</v>
      </c>
    </row>
    <row r="243" spans="1:83" x14ac:dyDescent="0.3">
      <c r="L243">
        <v>2.3199999999999998</v>
      </c>
      <c r="M243">
        <v>0.01</v>
      </c>
    </row>
    <row r="244" spans="1:83" x14ac:dyDescent="0.3">
      <c r="L244">
        <v>2.3199999999999998</v>
      </c>
      <c r="M244">
        <v>100</v>
      </c>
    </row>
    <row r="250" spans="1:83" x14ac:dyDescent="0.3">
      <c r="BF250" t="s">
        <v>273</v>
      </c>
    </row>
    <row r="251" spans="1:83" x14ac:dyDescent="0.3">
      <c r="C251" t="s">
        <v>108</v>
      </c>
      <c r="V251" t="s">
        <v>175</v>
      </c>
      <c r="W251" t="s">
        <v>174</v>
      </c>
      <c r="X251" t="s">
        <v>173</v>
      </c>
      <c r="Y251" t="s">
        <v>69</v>
      </c>
      <c r="Z251" t="s">
        <v>147</v>
      </c>
      <c r="AK251" t="s">
        <v>108</v>
      </c>
      <c r="AR251" t="s">
        <v>108</v>
      </c>
      <c r="AW251" t="s">
        <v>108</v>
      </c>
    </row>
    <row r="252" spans="1:83" x14ac:dyDescent="0.3">
      <c r="C252" t="s">
        <v>202</v>
      </c>
      <c r="V252" t="s">
        <v>162</v>
      </c>
      <c r="W252" t="s">
        <v>162</v>
      </c>
      <c r="X252" t="s">
        <v>162</v>
      </c>
      <c r="Y252" t="s">
        <v>162</v>
      </c>
      <c r="Z252" t="s">
        <v>162</v>
      </c>
      <c r="AA252" t="s">
        <v>79</v>
      </c>
      <c r="AK252" t="s">
        <v>201</v>
      </c>
      <c r="AR252" t="s">
        <v>272</v>
      </c>
      <c r="AW252" t="s">
        <v>202</v>
      </c>
      <c r="BF252" t="s">
        <v>272</v>
      </c>
    </row>
    <row r="253" spans="1:83" x14ac:dyDescent="0.3">
      <c r="A253" t="s">
        <v>2</v>
      </c>
      <c r="C253">
        <v>6.0000000000000001E-3</v>
      </c>
      <c r="D253">
        <v>0.06</v>
      </c>
      <c r="E253">
        <v>0.6</v>
      </c>
      <c r="F253">
        <v>2.2999999999999998</v>
      </c>
      <c r="G253">
        <v>3</v>
      </c>
      <c r="V253">
        <v>3.0338953840388204E-5</v>
      </c>
      <c r="W253">
        <v>1.9933884764983558E-5</v>
      </c>
      <c r="X253">
        <v>9.4469838431098833E-5</v>
      </c>
      <c r="Y253">
        <v>1.146764179524263E-4</v>
      </c>
      <c r="Z253">
        <v>3.214402660206134E-4</v>
      </c>
      <c r="AA253">
        <v>1.6666666666666666E-2</v>
      </c>
      <c r="AM253">
        <v>0.6</v>
      </c>
      <c r="AN253">
        <v>2.2999999999999998</v>
      </c>
      <c r="AO253">
        <v>3</v>
      </c>
      <c r="AR253">
        <v>0.6</v>
      </c>
      <c r="AS253">
        <v>2.2999999999999998</v>
      </c>
      <c r="AT253">
        <v>3</v>
      </c>
      <c r="AY253">
        <v>0.6</v>
      </c>
      <c r="AZ253">
        <v>2.2999999999999998</v>
      </c>
      <c r="BA253">
        <v>3</v>
      </c>
      <c r="BD253" t="s">
        <v>92</v>
      </c>
      <c r="BE253">
        <v>0</v>
      </c>
      <c r="BF253">
        <v>1</v>
      </c>
      <c r="BG253">
        <v>2</v>
      </c>
      <c r="BH253">
        <v>3</v>
      </c>
      <c r="BI253">
        <v>5</v>
      </c>
      <c r="BJ253">
        <v>7</v>
      </c>
      <c r="BK253">
        <v>10</v>
      </c>
      <c r="BL253">
        <v>15</v>
      </c>
      <c r="BM253">
        <v>26</v>
      </c>
      <c r="BN253">
        <v>36</v>
      </c>
      <c r="BO253">
        <v>47</v>
      </c>
      <c r="BP253">
        <v>57</v>
      </c>
      <c r="BQ253">
        <v>66</v>
      </c>
      <c r="BR253">
        <v>75</v>
      </c>
      <c r="BS253">
        <v>84</v>
      </c>
      <c r="BT253">
        <v>94</v>
      </c>
      <c r="BU253">
        <v>104</v>
      </c>
      <c r="BV253">
        <v>113</v>
      </c>
      <c r="BW253">
        <v>120</v>
      </c>
      <c r="BX253">
        <v>126</v>
      </c>
      <c r="CB253" t="s">
        <v>173</v>
      </c>
      <c r="CC253" t="s">
        <v>69</v>
      </c>
      <c r="CD253" t="s">
        <v>147</v>
      </c>
    </row>
    <row r="254" spans="1:83" x14ac:dyDescent="0.3">
      <c r="A254" t="s">
        <v>79</v>
      </c>
      <c r="B254" t="s">
        <v>106</v>
      </c>
      <c r="F254" t="s">
        <v>105</v>
      </c>
      <c r="G254" t="s">
        <v>208</v>
      </c>
      <c r="V254">
        <v>2.5252651738826888E-4</v>
      </c>
      <c r="W254">
        <v>2.0363904931726111E-4</v>
      </c>
      <c r="X254">
        <v>4.182375494874575E-4</v>
      </c>
      <c r="Y254">
        <v>3.3508148820936496E-4</v>
      </c>
      <c r="Z254">
        <v>6.0074390820746241E-4</v>
      </c>
      <c r="AA254">
        <v>0.16666666666666666</v>
      </c>
      <c r="AN254" t="s">
        <v>105</v>
      </c>
      <c r="AO254" t="s">
        <v>208</v>
      </c>
      <c r="AS254" t="s">
        <v>105</v>
      </c>
      <c r="AT254" t="s">
        <v>208</v>
      </c>
      <c r="AZ254" t="s">
        <v>105</v>
      </c>
      <c r="BA254" t="s">
        <v>208</v>
      </c>
      <c r="BD254">
        <v>0.6</v>
      </c>
      <c r="BE254">
        <f>AY255</f>
        <v>1.1861525827758089E-3</v>
      </c>
      <c r="BF254">
        <f>AY256</f>
        <v>1.1604397817212623E-2</v>
      </c>
      <c r="BG254">
        <f>(BF254+BI254)/2</f>
        <v>3.1074082835329024E-2</v>
      </c>
      <c r="BH254">
        <f>AY257</f>
        <v>2.9641630712028896E-2</v>
      </c>
      <c r="BI254">
        <f>AY258</f>
        <v>5.0543767853445422E-2</v>
      </c>
      <c r="BJ254">
        <f>AY259</f>
        <v>6.7247974071927966E-2</v>
      </c>
      <c r="BK254">
        <f>AY261</f>
        <v>0.12135577442564953</v>
      </c>
      <c r="BL254">
        <f>AY262</f>
        <v>0.14495987258584012</v>
      </c>
      <c r="BM254">
        <f>AY263</f>
        <v>0.26190621462878588</v>
      </c>
      <c r="CB254" t="s">
        <v>162</v>
      </c>
      <c r="CC254" t="s">
        <v>162</v>
      </c>
      <c r="CD254" t="s">
        <v>162</v>
      </c>
      <c r="CE254" t="s">
        <v>79</v>
      </c>
    </row>
    <row r="255" spans="1:83" x14ac:dyDescent="0.3">
      <c r="A255" s="6">
        <f t="shared" ref="A255:A271" si="200">B255/60</f>
        <v>1.6666666666666666E-2</v>
      </c>
      <c r="B255" s="6">
        <v>1</v>
      </c>
      <c r="C255">
        <v>1.4042835683474137E-4</v>
      </c>
      <c r="D255">
        <v>2.0825381744271875E-4</v>
      </c>
      <c r="E255">
        <v>1.1861525827758089E-3</v>
      </c>
      <c r="F255">
        <v>4.5420001033450444E-3</v>
      </c>
      <c r="G255">
        <v>6.7852289802232272E-3</v>
      </c>
      <c r="V255">
        <v>1.0163814485442027E-3</v>
      </c>
      <c r="W255">
        <v>4.023408069981011E-4</v>
      </c>
      <c r="X255">
        <v>1.3925590288386329E-3</v>
      </c>
      <c r="Y255">
        <v>1.0976784810260462E-3</v>
      </c>
      <c r="Z255">
        <v>1.2104249205259544E-3</v>
      </c>
      <c r="AA255">
        <v>0.5</v>
      </c>
      <c r="AM255">
        <v>1.2110997438967496E-2</v>
      </c>
      <c r="AN255">
        <v>4.637527449518597E-2</v>
      </c>
      <c r="AO255">
        <v>6.9279359161352819E-2</v>
      </c>
      <c r="AR255">
        <f>AM255/0.1</f>
        <v>0.12110997438967495</v>
      </c>
      <c r="AS255">
        <f t="shared" ref="AS255:AT255" si="201">AN255/0.1</f>
        <v>0.4637527449518597</v>
      </c>
      <c r="AT255">
        <f t="shared" si="201"/>
        <v>0.69279359161352816</v>
      </c>
      <c r="AY255">
        <v>1.1861525827758089E-3</v>
      </c>
      <c r="AZ255">
        <v>4.5420001033450444E-3</v>
      </c>
      <c r="BA255">
        <v>6.7852289802232272E-3</v>
      </c>
      <c r="BD255">
        <v>2.2999999999999998</v>
      </c>
      <c r="BI255">
        <f>AZ256</f>
        <v>4.4336140652025041E-2</v>
      </c>
      <c r="BJ255">
        <f>(BI255+BK255)/2</f>
        <v>7.9433679480980068E-2</v>
      </c>
      <c r="BK255">
        <f>AZ257</f>
        <v>0.11453121830993508</v>
      </c>
      <c r="BL255">
        <f>AZ258</f>
        <v>0.18857742465372748</v>
      </c>
      <c r="BM255">
        <f>AZ259</f>
        <v>0.24544939612364816</v>
      </c>
      <c r="BN255">
        <f>AZ261</f>
        <v>0.38462648206518102</v>
      </c>
      <c r="BO255">
        <f>AZ262</f>
        <v>0.47048879220257939</v>
      </c>
      <c r="BP255">
        <v>0.55000000000000004</v>
      </c>
      <c r="BQ255">
        <v>0.65</v>
      </c>
      <c r="BR255">
        <f>AZ263</f>
        <v>0.72775609434531774</v>
      </c>
      <c r="BS255">
        <f>AZ265</f>
        <v>0.82731809588869187</v>
      </c>
      <c r="BT255">
        <f>AZ266</f>
        <v>0.88948727308742004</v>
      </c>
      <c r="BU255">
        <f>AZ267</f>
        <v>1.0308194229397498</v>
      </c>
      <c r="BV255">
        <f>AZ270</f>
        <v>1.1012927304785645</v>
      </c>
      <c r="BW255">
        <f>AZ271</f>
        <v>1.1337426002167175</v>
      </c>
      <c r="CB255">
        <v>9.4469838431098833E-5</v>
      </c>
      <c r="CC255">
        <v>1.146764179524263E-4</v>
      </c>
      <c r="CD255">
        <v>3.214402660206134E-4</v>
      </c>
      <c r="CE255">
        <v>1.6666666666666666E-2</v>
      </c>
    </row>
    <row r="256" spans="1:83" x14ac:dyDescent="0.3">
      <c r="A256" s="6">
        <f t="shared" si="200"/>
        <v>0.16666666666666666</v>
      </c>
      <c r="B256" s="6">
        <v>10</v>
      </c>
      <c r="C256">
        <v>1.1906535127784077E-3</v>
      </c>
      <c r="D256">
        <v>1.7981291149415436E-3</v>
      </c>
      <c r="E256">
        <v>1.1604397817212623E-2</v>
      </c>
      <c r="F256">
        <v>4.4336140652025041E-2</v>
      </c>
      <c r="G256">
        <v>5.5695635985784059E-2</v>
      </c>
      <c r="V256">
        <v>1.5925533669476069E-3</v>
      </c>
      <c r="W256">
        <v>1.5916698864394897E-3</v>
      </c>
      <c r="X256">
        <v>3.0407360958551108E-3</v>
      </c>
      <c r="Y256">
        <v>1.1305485527158066E-3</v>
      </c>
      <c r="Z256">
        <v>1.550932618274042E-2</v>
      </c>
      <c r="AA256">
        <v>1</v>
      </c>
      <c r="AM256">
        <v>0.1184846151210424</v>
      </c>
      <c r="AN256">
        <v>0.45268618362218432</v>
      </c>
      <c r="AO256">
        <v>0.56867026601837067</v>
      </c>
      <c r="AR256">
        <f t="shared" ref="AR256:AR265" si="202">AM256/0.1</f>
        <v>1.184846151210424</v>
      </c>
      <c r="AS256">
        <f t="shared" ref="AS256:AS271" si="203">AN256/0.1</f>
        <v>4.5268618362218431</v>
      </c>
      <c r="AT256">
        <f t="shared" ref="AT256:AT261" si="204">AO256/0.1</f>
        <v>5.6867026601837063</v>
      </c>
      <c r="AY256">
        <v>1.1604397817212623E-2</v>
      </c>
      <c r="AZ256">
        <v>4.4336140652025041E-2</v>
      </c>
      <c r="BA256">
        <v>5.5695635985784059E-2</v>
      </c>
      <c r="BD256">
        <v>3</v>
      </c>
      <c r="BL256">
        <f>BA257</f>
        <v>0.15050497843269897</v>
      </c>
      <c r="BM256">
        <f>BA258</f>
        <v>0.24872356586893221</v>
      </c>
      <c r="BN256">
        <f>BA260</f>
        <v>0.37909845302103706</v>
      </c>
      <c r="BO256">
        <f>(BN256+BP256)/2</f>
        <v>0.46430303498033215</v>
      </c>
      <c r="BP256">
        <f>BA261</f>
        <v>0.54950761693962724</v>
      </c>
      <c r="CB256">
        <v>4.182375494874575E-4</v>
      </c>
      <c r="CC256">
        <v>3.3508148820936496E-4</v>
      </c>
      <c r="CD256">
        <v>6.0074390820746241E-4</v>
      </c>
      <c r="CE256">
        <v>0.16666666666666666</v>
      </c>
    </row>
    <row r="257" spans="1:83" x14ac:dyDescent="0.3">
      <c r="A257" s="6">
        <f t="shared" si="200"/>
        <v>0.5</v>
      </c>
      <c r="B257" s="6">
        <v>30</v>
      </c>
      <c r="C257">
        <v>2.7951533715040939E-3</v>
      </c>
      <c r="D257">
        <v>3.0067927350862721E-3</v>
      </c>
      <c r="E257">
        <v>2.9641630712028896E-2</v>
      </c>
      <c r="F257">
        <v>0.11453121830993508</v>
      </c>
      <c r="G257">
        <v>0.15050497843269897</v>
      </c>
      <c r="V257">
        <v>2.0263111319223847E-3</v>
      </c>
      <c r="W257">
        <v>2.1386656165680016E-3</v>
      </c>
      <c r="X257">
        <v>4.9508168733146812E-3</v>
      </c>
      <c r="Y257">
        <v>1.6966837934643054E-3</v>
      </c>
      <c r="Z257">
        <v>1.6425812036089095E-2</v>
      </c>
      <c r="AA257">
        <v>1.5</v>
      </c>
      <c r="AM257">
        <v>0.30265053489164284</v>
      </c>
      <c r="AN257">
        <v>1.1694003889342961</v>
      </c>
      <c r="AO257">
        <v>1.5367039913909548</v>
      </c>
      <c r="AR257">
        <f t="shared" si="202"/>
        <v>3.0265053489164284</v>
      </c>
      <c r="AS257">
        <f t="shared" si="203"/>
        <v>11.694003889342961</v>
      </c>
      <c r="AT257">
        <f t="shared" si="204"/>
        <v>15.367039913909547</v>
      </c>
      <c r="AY257">
        <v>2.9641630712028896E-2</v>
      </c>
      <c r="AZ257">
        <v>0.11453121830993508</v>
      </c>
      <c r="BA257">
        <v>0.15050497843269897</v>
      </c>
      <c r="BC257" t="s">
        <v>293</v>
      </c>
      <c r="BD257">
        <v>3.3</v>
      </c>
      <c r="BL257">
        <v>0.19629750634941764</v>
      </c>
      <c r="BM257">
        <v>0.34470279019005212</v>
      </c>
      <c r="BN257">
        <v>0.48891076414836093</v>
      </c>
      <c r="BO257">
        <v>0.63221970552846474</v>
      </c>
      <c r="BP257">
        <v>0.76034352276524442</v>
      </c>
      <c r="BQ257">
        <v>0.88342665174870938</v>
      </c>
      <c r="BR257">
        <v>1.0104309037055885</v>
      </c>
      <c r="BS257">
        <v>1.1351922470417362</v>
      </c>
      <c r="BT257">
        <v>1.2633130445466436</v>
      </c>
      <c r="BU257">
        <v>1.3982836068725641</v>
      </c>
      <c r="BV257">
        <v>1.5236426640384246</v>
      </c>
      <c r="BW257">
        <v>1.6103025174331871</v>
      </c>
      <c r="BX257">
        <v>1.69696237082795</v>
      </c>
      <c r="CB257">
        <v>1.3925590288386329E-3</v>
      </c>
      <c r="CC257">
        <v>1.0976784810260462E-3</v>
      </c>
      <c r="CD257">
        <v>1.2104249205259544E-3</v>
      </c>
      <c r="CE257">
        <v>0.5</v>
      </c>
    </row>
    <row r="258" spans="1:83" x14ac:dyDescent="0.3">
      <c r="A258" s="6">
        <f t="shared" si="200"/>
        <v>1</v>
      </c>
      <c r="B258" s="6">
        <v>60</v>
      </c>
      <c r="C258">
        <v>4.9353573370653188E-3</v>
      </c>
      <c r="D258">
        <v>4.7575503216948116E-3</v>
      </c>
      <c r="E258">
        <v>5.0543767853445422E-2</v>
      </c>
      <c r="F258">
        <v>0.18857742465372748</v>
      </c>
      <c r="G258">
        <v>0.24872356586893221</v>
      </c>
      <c r="V258">
        <v>2.0582657850563412E-3</v>
      </c>
      <c r="W258">
        <v>1.8963724185063417E-3</v>
      </c>
      <c r="X258">
        <v>5.050385263226125E-3</v>
      </c>
      <c r="Y258">
        <v>6.6995787285252005E-3</v>
      </c>
      <c r="Z258">
        <v>1.6738316421828867E-2</v>
      </c>
      <c r="AA258">
        <v>2</v>
      </c>
      <c r="AM258">
        <v>0.51606804378939086</v>
      </c>
      <c r="AN258">
        <v>1.925435850490447</v>
      </c>
      <c r="AO258">
        <v>2.5395471990628757</v>
      </c>
      <c r="AR258">
        <f t="shared" si="202"/>
        <v>5.160680437893908</v>
      </c>
      <c r="AS258">
        <f t="shared" si="203"/>
        <v>19.25435850490447</v>
      </c>
      <c r="AT258">
        <f t="shared" si="204"/>
        <v>25.395471990628756</v>
      </c>
      <c r="AY258">
        <v>5.0543767853445422E-2</v>
      </c>
      <c r="AZ258">
        <v>0.18857742465372748</v>
      </c>
      <c r="BA258">
        <v>0.24872356586893221</v>
      </c>
      <c r="CB258">
        <v>3.0407360958551108E-3</v>
      </c>
      <c r="CC258">
        <v>1.1305485527158066E-3</v>
      </c>
      <c r="CD258">
        <v>1.550932618274042E-2</v>
      </c>
      <c r="CE258">
        <v>1</v>
      </c>
    </row>
    <row r="259" spans="1:83" x14ac:dyDescent="0.3">
      <c r="A259" s="6">
        <f t="shared" si="200"/>
        <v>1.5</v>
      </c>
      <c r="B259" s="7">
        <v>90</v>
      </c>
      <c r="C259">
        <v>5.7501371118097843E-3</v>
      </c>
      <c r="D259">
        <v>5.9104376284763276E-3</v>
      </c>
      <c r="E259">
        <v>6.7247974071927966E-2</v>
      </c>
      <c r="F259">
        <v>0.24544939612364816</v>
      </c>
      <c r="G259">
        <v>0.32300197001141073</v>
      </c>
      <c r="V259">
        <v>3.8275844400105881E-3</v>
      </c>
      <c r="W259">
        <v>5.3404478136744602E-3</v>
      </c>
      <c r="X259">
        <v>1.0221887807540532E-2</v>
      </c>
      <c r="Y259">
        <v>2.4360197048588848E-2</v>
      </c>
      <c r="Z259">
        <v>1.8563897305213989E-2</v>
      </c>
      <c r="AA259">
        <v>4</v>
      </c>
      <c r="AM259">
        <v>0.68662333462608749</v>
      </c>
      <c r="AN259">
        <v>2.5061168782292071</v>
      </c>
      <c r="AO259">
        <v>3.2979534744469068</v>
      </c>
      <c r="AR259">
        <f t="shared" si="202"/>
        <v>6.8662333462608744</v>
      </c>
      <c r="AS259">
        <f t="shared" si="203"/>
        <v>25.061168782292071</v>
      </c>
      <c r="AT259">
        <f t="shared" si="204"/>
        <v>32.979534744469063</v>
      </c>
      <c r="AY259">
        <v>6.7247974071927966E-2</v>
      </c>
      <c r="AZ259">
        <v>0.24544939612364816</v>
      </c>
      <c r="BA259">
        <v>0.32300197001141073</v>
      </c>
      <c r="CB259">
        <v>4.9508168733146812E-3</v>
      </c>
      <c r="CC259">
        <v>1.6966837934643054E-3</v>
      </c>
      <c r="CD259">
        <v>1.6425812036089095E-2</v>
      </c>
      <c r="CE259">
        <v>1.5</v>
      </c>
    </row>
    <row r="260" spans="1:83" x14ac:dyDescent="0.3">
      <c r="A260" s="6">
        <f t="shared" si="200"/>
        <v>2</v>
      </c>
      <c r="B260" s="7">
        <v>120</v>
      </c>
      <c r="C260">
        <v>6.3423974663965503E-3</v>
      </c>
      <c r="D260">
        <v>6.7125373870030244E-3</v>
      </c>
      <c r="E260">
        <v>7.9776854080503931E-2</v>
      </c>
      <c r="F260">
        <v>0.29178056531791507</v>
      </c>
      <c r="G260">
        <v>0.37909845302103706</v>
      </c>
      <c r="X260">
        <v>1.4375176610998212E-2</v>
      </c>
      <c r="Y260">
        <v>2.0210061822894438E-2</v>
      </c>
      <c r="AA260">
        <v>6</v>
      </c>
      <c r="AM260">
        <v>0.81454720875525077</v>
      </c>
      <c r="AN260">
        <v>2.9791729416768145</v>
      </c>
      <c r="AO260">
        <v>3.8707165168497548</v>
      </c>
      <c r="AR260">
        <f t="shared" si="202"/>
        <v>8.1454720875525073</v>
      </c>
      <c r="AS260">
        <f t="shared" si="203"/>
        <v>29.791729416768142</v>
      </c>
      <c r="AT260">
        <f t="shared" si="204"/>
        <v>38.707165168497546</v>
      </c>
      <c r="AY260">
        <v>7.9776854080503931E-2</v>
      </c>
      <c r="AZ260">
        <v>0.29178056531791507</v>
      </c>
      <c r="BA260">
        <v>0.37909845302103706</v>
      </c>
      <c r="BC260" t="s">
        <v>294</v>
      </c>
      <c r="BD260">
        <v>20</v>
      </c>
      <c r="BE260">
        <v>5</v>
      </c>
      <c r="CB260">
        <v>5.050385263226125E-3</v>
      </c>
      <c r="CC260">
        <v>6.6995787285252005E-3</v>
      </c>
      <c r="CD260">
        <v>1.6738316421828867E-2</v>
      </c>
      <c r="CE260">
        <v>2</v>
      </c>
    </row>
    <row r="261" spans="1:83" x14ac:dyDescent="0.3">
      <c r="A261" s="6">
        <f t="shared" si="200"/>
        <v>4</v>
      </c>
      <c r="B261" s="7">
        <v>240</v>
      </c>
      <c r="C261">
        <v>6.4903726520771123E-3</v>
      </c>
      <c r="D261">
        <v>9.3302625171443193E-3</v>
      </c>
      <c r="E261">
        <v>0.12135577442564953</v>
      </c>
      <c r="F261">
        <v>0.38462648206518102</v>
      </c>
      <c r="G261">
        <v>0.54950761693962724</v>
      </c>
      <c r="X261">
        <v>2.9228809523672412E-2</v>
      </c>
      <c r="Y261">
        <v>4.6412058929570406E-2</v>
      </c>
      <c r="AA261">
        <v>18</v>
      </c>
      <c r="AM261">
        <v>1.2390812907336977</v>
      </c>
      <c r="AN261">
        <v>3.927159462359759</v>
      </c>
      <c r="AO261">
        <v>5.6106486113910146</v>
      </c>
      <c r="AR261">
        <f t="shared" si="202"/>
        <v>12.390812907336976</v>
      </c>
      <c r="AS261">
        <f t="shared" si="203"/>
        <v>39.271594623597586</v>
      </c>
      <c r="AT261">
        <f t="shared" si="204"/>
        <v>56.106486113910144</v>
      </c>
      <c r="AY261">
        <v>0.12135577442564953</v>
      </c>
      <c r="AZ261">
        <v>0.38462648206518102</v>
      </c>
      <c r="BA261">
        <v>0.54950761693962724</v>
      </c>
      <c r="CB261">
        <v>1.0221887807540532E-2</v>
      </c>
      <c r="CC261">
        <v>2.4360197048588848E-2</v>
      </c>
      <c r="CD261">
        <v>1.8563897305213989E-2</v>
      </c>
      <c r="CE261">
        <v>4</v>
      </c>
    </row>
    <row r="262" spans="1:83" x14ac:dyDescent="0.3">
      <c r="A262" s="6">
        <f t="shared" si="200"/>
        <v>6</v>
      </c>
      <c r="B262" s="7">
        <v>360</v>
      </c>
      <c r="E262">
        <v>0.14495987258584012</v>
      </c>
      <c r="F262">
        <v>0.47048879220257939</v>
      </c>
      <c r="X262">
        <v>3.2800733527801593E-2</v>
      </c>
      <c r="Y262">
        <v>3.7074059484304998E-2</v>
      </c>
      <c r="AA262">
        <v>22</v>
      </c>
      <c r="AM262">
        <v>1.480086686260655</v>
      </c>
      <c r="AN262">
        <v>4.8038411248018402</v>
      </c>
      <c r="AR262">
        <f t="shared" si="202"/>
        <v>14.800866862606549</v>
      </c>
      <c r="AS262">
        <f t="shared" si="203"/>
        <v>48.038411248018399</v>
      </c>
      <c r="AY262">
        <v>0.14495987258584012</v>
      </c>
      <c r="AZ262">
        <v>0.47048879220257939</v>
      </c>
      <c r="CB262">
        <v>1.4375176610998212E-2</v>
      </c>
      <c r="CC262">
        <v>2.0210061822894438E-2</v>
      </c>
      <c r="CE262">
        <v>6</v>
      </c>
    </row>
    <row r="263" spans="1:83" x14ac:dyDescent="0.3">
      <c r="A263" s="6">
        <f t="shared" si="200"/>
        <v>18</v>
      </c>
      <c r="B263" s="7">
        <v>1080</v>
      </c>
      <c r="E263">
        <v>0.26190621462878588</v>
      </c>
      <c r="F263">
        <v>0.72775609434531774</v>
      </c>
      <c r="X263">
        <v>3.7261365782281008E-2</v>
      </c>
      <c r="Y263">
        <v>3.4040230623875845E-2</v>
      </c>
      <c r="AA263">
        <v>26</v>
      </c>
      <c r="AM263">
        <v>2.6741462613485849</v>
      </c>
      <c r="AN263">
        <v>7.4306226052158841</v>
      </c>
      <c r="AR263">
        <f t="shared" si="202"/>
        <v>26.741462613485847</v>
      </c>
      <c r="AS263">
        <f t="shared" si="203"/>
        <v>74.306226052158834</v>
      </c>
      <c r="AY263">
        <v>0.26190621462878588</v>
      </c>
      <c r="AZ263">
        <v>0.72775609434531774</v>
      </c>
      <c r="CB263">
        <v>2.9228809523672412E-2</v>
      </c>
      <c r="CC263">
        <v>4.6412058929570406E-2</v>
      </c>
      <c r="CE263">
        <v>18</v>
      </c>
    </row>
    <row r="264" spans="1:83" x14ac:dyDescent="0.3">
      <c r="A264" s="6">
        <f t="shared" si="200"/>
        <v>22</v>
      </c>
      <c r="B264" s="7">
        <v>1320</v>
      </c>
      <c r="E264">
        <v>0.26694328172095627</v>
      </c>
      <c r="F264">
        <v>0.77444726013828569</v>
      </c>
      <c r="Y264">
        <v>3.347386996660548E-2</v>
      </c>
      <c r="AA264">
        <v>30</v>
      </c>
      <c r="AM264">
        <v>2.7255763282211141</v>
      </c>
      <c r="AN264">
        <v>7.907354349135141</v>
      </c>
      <c r="AR264">
        <f t="shared" si="202"/>
        <v>27.255763282211138</v>
      </c>
      <c r="AS264">
        <f t="shared" si="203"/>
        <v>79.073543491351401</v>
      </c>
      <c r="AY264">
        <v>0.26694328172095627</v>
      </c>
      <c r="AZ264">
        <v>0.77444726013828569</v>
      </c>
      <c r="CB264">
        <v>3.2800733527801593E-2</v>
      </c>
      <c r="CC264">
        <v>3.7074059484304998E-2</v>
      </c>
      <c r="CE264">
        <v>22</v>
      </c>
    </row>
    <row r="265" spans="1:83" x14ac:dyDescent="0.3">
      <c r="A265" s="6">
        <f t="shared" si="200"/>
        <v>26</v>
      </c>
      <c r="B265" s="6">
        <v>1560</v>
      </c>
      <c r="E265">
        <v>0.27057464703604117</v>
      </c>
      <c r="F265">
        <v>0.82731809588869187</v>
      </c>
      <c r="Y265">
        <v>4.4209329717069222E-2</v>
      </c>
      <c r="AA265">
        <v>42</v>
      </c>
      <c r="AM265">
        <v>2.7626537301250322</v>
      </c>
      <c r="AN265">
        <v>8.4471825008142289</v>
      </c>
      <c r="AR265">
        <f t="shared" si="202"/>
        <v>27.62653730125032</v>
      </c>
      <c r="AS265">
        <f t="shared" si="203"/>
        <v>84.471825008142289</v>
      </c>
      <c r="AY265">
        <v>0.27057464703604117</v>
      </c>
      <c r="AZ265">
        <v>0.82731809588869187</v>
      </c>
      <c r="CB265">
        <v>3.7261365782281008E-2</v>
      </c>
      <c r="CC265">
        <v>3.4040230623875845E-2</v>
      </c>
      <c r="CE265">
        <v>26</v>
      </c>
    </row>
    <row r="266" spans="1:83" x14ac:dyDescent="0.3">
      <c r="A266" s="6">
        <f t="shared" si="200"/>
        <v>30</v>
      </c>
      <c r="B266" s="16">
        <v>1800</v>
      </c>
      <c r="F266">
        <v>0.88948727308742004</v>
      </c>
      <c r="Y266">
        <v>4.4852558954401822E-2</v>
      </c>
      <c r="AA266">
        <v>46</v>
      </c>
      <c r="AN266">
        <v>9.0819496941499462</v>
      </c>
      <c r="AS266">
        <f t="shared" si="203"/>
        <v>90.819496941499452</v>
      </c>
      <c r="AZ266">
        <v>0.88948727308742004</v>
      </c>
      <c r="CC266">
        <v>3.347386996660548E-2</v>
      </c>
      <c r="CE266">
        <v>30</v>
      </c>
    </row>
    <row r="267" spans="1:83" x14ac:dyDescent="0.3">
      <c r="A267" s="6">
        <f t="shared" si="200"/>
        <v>42</v>
      </c>
      <c r="B267" s="6">
        <v>2520</v>
      </c>
      <c r="F267">
        <v>1.0308194229397498</v>
      </c>
      <c r="Y267">
        <v>3.6072976792198654E-2</v>
      </c>
      <c r="AA267">
        <v>50</v>
      </c>
      <c r="AN267">
        <v>10.524996170430185</v>
      </c>
      <c r="AS267">
        <f t="shared" si="203"/>
        <v>105.24996170430185</v>
      </c>
      <c r="AZ267">
        <v>1.0308194229397498</v>
      </c>
      <c r="CC267">
        <v>4.4209329717069222E-2</v>
      </c>
      <c r="CE267">
        <v>42</v>
      </c>
    </row>
    <row r="268" spans="1:83" x14ac:dyDescent="0.3">
      <c r="A268" s="6">
        <f t="shared" si="200"/>
        <v>46</v>
      </c>
      <c r="B268" s="6">
        <v>2760</v>
      </c>
      <c r="F268">
        <v>1.0713483938563886</v>
      </c>
      <c r="Y268">
        <v>4.402545231292241E-2</v>
      </c>
      <c r="AA268">
        <v>54</v>
      </c>
      <c r="AN268">
        <v>10.93880993275976</v>
      </c>
      <c r="AS268">
        <f t="shared" si="203"/>
        <v>109.3880993275976</v>
      </c>
      <c r="AZ268">
        <v>1.0713483938563886</v>
      </c>
      <c r="CC268">
        <v>4.4852558954401822E-2</v>
      </c>
      <c r="CE268">
        <v>46</v>
      </c>
    </row>
    <row r="269" spans="1:83" x14ac:dyDescent="0.3">
      <c r="A269" s="6">
        <f t="shared" si="200"/>
        <v>50</v>
      </c>
      <c r="B269" s="6">
        <v>3000</v>
      </c>
      <c r="F269">
        <v>1.0942938508100777</v>
      </c>
      <c r="Y269">
        <v>5.3285583695642652E-2</v>
      </c>
      <c r="AA269">
        <v>65</v>
      </c>
      <c r="AN269">
        <v>11.17309039080315</v>
      </c>
      <c r="AS269">
        <f t="shared" si="203"/>
        <v>111.73090390803149</v>
      </c>
      <c r="AZ269">
        <v>1.0942938508100777</v>
      </c>
      <c r="CC269">
        <v>3.6072976792198654E-2</v>
      </c>
      <c r="CE269">
        <v>50</v>
      </c>
    </row>
    <row r="270" spans="1:83" x14ac:dyDescent="0.3">
      <c r="A270" s="6">
        <f t="shared" si="200"/>
        <v>54</v>
      </c>
      <c r="B270" s="6">
        <v>3240</v>
      </c>
      <c r="F270">
        <v>1.1012927304785645</v>
      </c>
      <c r="AN270">
        <v>11.244551191859893</v>
      </c>
      <c r="AS270">
        <f t="shared" si="203"/>
        <v>112.44551191859892</v>
      </c>
      <c r="AZ270">
        <v>1.1012927304785645</v>
      </c>
      <c r="CC270">
        <v>4.402545231292241E-2</v>
      </c>
      <c r="CE270">
        <v>54</v>
      </c>
    </row>
    <row r="271" spans="1:83" x14ac:dyDescent="0.3">
      <c r="A271" s="6">
        <f t="shared" si="200"/>
        <v>65</v>
      </c>
      <c r="B271" s="6">
        <v>3900</v>
      </c>
      <c r="F271">
        <v>1.1337426002167175</v>
      </c>
      <c r="AN271">
        <v>11.575874745844754</v>
      </c>
      <c r="AS271">
        <f t="shared" si="203"/>
        <v>115.75874745844753</v>
      </c>
      <c r="AZ271">
        <v>1.1337426002167175</v>
      </c>
      <c r="CC271">
        <v>5.3285583695642652E-2</v>
      </c>
      <c r="CE271">
        <v>65</v>
      </c>
    </row>
    <row r="273" spans="20:86" x14ac:dyDescent="0.3">
      <c r="X273">
        <f>1/60</f>
        <v>1.6666666666666666E-2</v>
      </c>
    </row>
    <row r="274" spans="20:86" x14ac:dyDescent="0.3">
      <c r="X274">
        <f>10/60</f>
        <v>0.16666666666666666</v>
      </c>
      <c r="CE274" t="s">
        <v>292</v>
      </c>
    </row>
    <row r="275" spans="20:86" x14ac:dyDescent="0.3">
      <c r="X275">
        <f>30/60</f>
        <v>0.5</v>
      </c>
      <c r="CB275" t="s">
        <v>173</v>
      </c>
      <c r="CC275" t="s">
        <v>69</v>
      </c>
      <c r="CD275" t="s">
        <v>147</v>
      </c>
      <c r="CE275" t="s">
        <v>291</v>
      </c>
    </row>
    <row r="276" spans="20:86" x14ac:dyDescent="0.3">
      <c r="CB276" t="s">
        <v>162</v>
      </c>
      <c r="CC276" t="s">
        <v>162</v>
      </c>
      <c r="CD276" t="s">
        <v>162</v>
      </c>
      <c r="CE276" t="s">
        <v>162</v>
      </c>
      <c r="CF276" t="s">
        <v>274</v>
      </c>
    </row>
    <row r="277" spans="20:86" x14ac:dyDescent="0.3">
      <c r="BU277">
        <v>44.01</v>
      </c>
      <c r="BV277" t="s">
        <v>275</v>
      </c>
      <c r="CB277">
        <f>CB255</f>
        <v>9.4469838431098833E-5</v>
      </c>
      <c r="CF277">
        <v>0</v>
      </c>
    </row>
    <row r="278" spans="20:86" x14ac:dyDescent="0.3">
      <c r="BU278">
        <v>2.2999999999999998</v>
      </c>
      <c r="BV278" t="s">
        <v>27</v>
      </c>
      <c r="BW278" t="s">
        <v>276</v>
      </c>
      <c r="CB278">
        <f>CB256</f>
        <v>4.182375494874575E-4</v>
      </c>
      <c r="CF278">
        <v>1</v>
      </c>
    </row>
    <row r="279" spans="20:86" x14ac:dyDescent="0.3">
      <c r="BU279">
        <f>BU277*BU278</f>
        <v>101.22299999999998</v>
      </c>
      <c r="BV279" t="s">
        <v>277</v>
      </c>
      <c r="CB279">
        <f>CB258</f>
        <v>3.0407360958551108E-3</v>
      </c>
      <c r="CF279">
        <v>2</v>
      </c>
    </row>
    <row r="280" spans="20:86" x14ac:dyDescent="0.3">
      <c r="CB280">
        <f>CB259</f>
        <v>4.9508168733146812E-3</v>
      </c>
      <c r="CF280">
        <v>3</v>
      </c>
    </row>
    <row r="281" spans="20:86" x14ac:dyDescent="0.3">
      <c r="CB281">
        <f>CB260</f>
        <v>5.050385263226125E-3</v>
      </c>
      <c r="CC281">
        <f>CC256</f>
        <v>3.3508148820936496E-4</v>
      </c>
      <c r="CF281">
        <v>5</v>
      </c>
    </row>
    <row r="282" spans="20:86" x14ac:dyDescent="0.3">
      <c r="CB282">
        <f>CB261</f>
        <v>1.0221887807540532E-2</v>
      </c>
      <c r="CC282">
        <f>(CC281+CC283)</f>
        <v>1.4327599692354111E-3</v>
      </c>
      <c r="CF282">
        <v>7</v>
      </c>
    </row>
    <row r="283" spans="20:86" x14ac:dyDescent="0.3">
      <c r="CB283">
        <f>CB261</f>
        <v>1.0221887807540532E-2</v>
      </c>
      <c r="CC283">
        <f>CC257</f>
        <v>1.0976784810260462E-3</v>
      </c>
      <c r="CF283">
        <v>10</v>
      </c>
    </row>
    <row r="284" spans="20:86" x14ac:dyDescent="0.3">
      <c r="AQ284" t="s">
        <v>289</v>
      </c>
      <c r="CB284">
        <f>CB262</f>
        <v>1.4375176610998212E-2</v>
      </c>
      <c r="CC284">
        <f>CC258</f>
        <v>1.1305485527158066E-3</v>
      </c>
      <c r="CD284">
        <f>CD257</f>
        <v>1.2104249205259544E-3</v>
      </c>
      <c r="CE284">
        <v>7.616546038381927E-5</v>
      </c>
      <c r="CF284">
        <v>15</v>
      </c>
      <c r="CH284" s="104">
        <v>14.6</v>
      </c>
    </row>
    <row r="285" spans="20:86" x14ac:dyDescent="0.3">
      <c r="AQ285">
        <v>50</v>
      </c>
      <c r="CB285">
        <f>CB264</f>
        <v>3.2800733527801593E-2</v>
      </c>
      <c r="CC285">
        <f>CC259</f>
        <v>1.6966837934643054E-3</v>
      </c>
      <c r="CD285">
        <f t="shared" ref="CD285:CD288" si="205">CD258</f>
        <v>1.550932618274042E-2</v>
      </c>
      <c r="CE285">
        <v>1.3072447849888043E-2</v>
      </c>
      <c r="CF285">
        <v>26</v>
      </c>
      <c r="CH285" s="104">
        <v>25.637924955686486</v>
      </c>
    </row>
    <row r="286" spans="20:86" x14ac:dyDescent="0.3">
      <c r="AA286" t="s">
        <v>163</v>
      </c>
      <c r="CC286">
        <f t="shared" ref="CC286:CC295" si="206">CC260</f>
        <v>6.6995787285252005E-3</v>
      </c>
      <c r="CD286">
        <f t="shared" si="205"/>
        <v>1.6425812036089095E-2</v>
      </c>
      <c r="CE286">
        <v>2.1418167162242176E-2</v>
      </c>
      <c r="CF286">
        <v>36</v>
      </c>
      <c r="CH286" s="104">
        <v>36.363667013986223</v>
      </c>
    </row>
    <row r="287" spans="20:86" x14ac:dyDescent="0.3">
      <c r="AA287" t="s">
        <v>14</v>
      </c>
      <c r="AI287" t="s">
        <v>15</v>
      </c>
      <c r="AM287" t="s">
        <v>22</v>
      </c>
      <c r="CC287">
        <f t="shared" si="206"/>
        <v>2.4360197048588848E-2</v>
      </c>
      <c r="CD287">
        <f t="shared" si="205"/>
        <v>1.6738316421828867E-2</v>
      </c>
      <c r="CE287">
        <v>2.1933519581832022E-2</v>
      </c>
      <c r="CF287">
        <v>47</v>
      </c>
      <c r="CH287" s="104">
        <v>47.022541816120068</v>
      </c>
    </row>
    <row r="288" spans="20:86" x14ac:dyDescent="0.3">
      <c r="T288" t="s">
        <v>58</v>
      </c>
      <c r="AA288" t="s">
        <v>13</v>
      </c>
      <c r="AE288" t="s">
        <v>6</v>
      </c>
      <c r="AI288" t="s">
        <v>1</v>
      </c>
      <c r="AM288" t="s">
        <v>23</v>
      </c>
      <c r="AQ288" t="s">
        <v>213</v>
      </c>
      <c r="CC288">
        <f t="shared" si="206"/>
        <v>2.0210061822894438E-2</v>
      </c>
      <c r="CD288">
        <f t="shared" si="205"/>
        <v>1.8563897305213989E-2</v>
      </c>
      <c r="CE288">
        <v>1.5846925769724685E-4</v>
      </c>
      <c r="CF288">
        <v>57</v>
      </c>
      <c r="CH288" s="104">
        <v>56.551994158358305</v>
      </c>
    </row>
    <row r="289" spans="18:86" x14ac:dyDescent="0.3">
      <c r="T289" t="s">
        <v>10</v>
      </c>
      <c r="U289">
        <v>3</v>
      </c>
      <c r="V289" t="s">
        <v>11</v>
      </c>
      <c r="AA289" s="6">
        <v>20.45</v>
      </c>
      <c r="AB289" s="6">
        <v>17.5</v>
      </c>
      <c r="AC289" s="6">
        <v>17.100000000000001</v>
      </c>
      <c r="AD289" s="6">
        <v>20.77</v>
      </c>
      <c r="AE289" s="43">
        <f>AA289/60</f>
        <v>0.34083333333333332</v>
      </c>
      <c r="AF289" s="43">
        <f>AB289/60</f>
        <v>0.29166666666666669</v>
      </c>
      <c r="AG289" s="43">
        <f>AC289/60</f>
        <v>0.28500000000000003</v>
      </c>
      <c r="AH289" s="43">
        <f>AD289/60</f>
        <v>0.34616666666666668</v>
      </c>
      <c r="AI289" s="6">
        <f>5/AE289</f>
        <v>14.669926650366749</v>
      </c>
      <c r="AJ289" s="6">
        <f>5/AF289</f>
        <v>17.142857142857142</v>
      </c>
      <c r="AK289" s="6">
        <f>5/AG289</f>
        <v>17.543859649122805</v>
      </c>
      <c r="AL289" s="6">
        <f>5/AH289</f>
        <v>14.443909484833895</v>
      </c>
      <c r="AM289" s="63">
        <f>($AA$297-AI289)*(10^-3)/60*273.15*1000/(22.4*$B$35*$B$36)</f>
        <v>16.86695584889738</v>
      </c>
      <c r="AN289" s="63">
        <f>($AA$297-AJ289)*(10^-3)/60*273.15*1000/(22.4*$B$35*$B$36)</f>
        <v>15.680076970881865</v>
      </c>
      <c r="AO289" s="63">
        <f>($AA$297-AK289)*(10^-3)/60*273.15*1000/(22.4*$B$35*$B$36)</f>
        <v>15.48761648476497</v>
      </c>
      <c r="AP289" s="63">
        <f>($AA$297-AL289)*(10^-3)/60*273.15*1000/(22.4*$B$35*$B$36)</f>
        <v>16.975432411685734</v>
      </c>
      <c r="AQ289" s="62">
        <f>_xlfn.STDEV.P(AM289:AP289)</f>
        <v>0.67322027906615434</v>
      </c>
      <c r="CC289">
        <f t="shared" si="206"/>
        <v>4.6412058929570406E-2</v>
      </c>
      <c r="CE289">
        <v>9.6097015764323723E-4</v>
      </c>
      <c r="CF289">
        <v>66</v>
      </c>
      <c r="CH289" s="104">
        <v>65.706535734448579</v>
      </c>
    </row>
    <row r="290" spans="18:86" x14ac:dyDescent="0.3">
      <c r="R290" t="s">
        <v>80</v>
      </c>
      <c r="S290" t="s">
        <v>2</v>
      </c>
      <c r="T290" t="s">
        <v>12</v>
      </c>
      <c r="U290" t="s">
        <v>14</v>
      </c>
      <c r="W290" t="s">
        <v>15</v>
      </c>
      <c r="X290" t="s">
        <v>22</v>
      </c>
      <c r="AA290" s="6">
        <v>16.87</v>
      </c>
      <c r="AB290" s="6">
        <v>15.44</v>
      </c>
      <c r="AC290" s="6">
        <v>14.75</v>
      </c>
      <c r="AD290" s="6">
        <v>14.68</v>
      </c>
      <c r="AE290" s="43">
        <f t="shared" ref="AE290:AE295" si="207">AA290/60</f>
        <v>0.28116666666666668</v>
      </c>
      <c r="AF290" s="43">
        <f t="shared" ref="AF290:AF295" si="208">AB290/60</f>
        <v>0.2573333333333333</v>
      </c>
      <c r="AG290" s="43">
        <f t="shared" ref="AG290:AG295" si="209">AC290/60</f>
        <v>0.24583333333333332</v>
      </c>
      <c r="AH290" s="43">
        <f t="shared" ref="AH290:AH295" si="210">AD290/60</f>
        <v>0.24466666666666667</v>
      </c>
      <c r="AI290" s="6">
        <f t="shared" ref="AI290:AI295" si="211">5/AE290</f>
        <v>17.783046828689983</v>
      </c>
      <c r="AJ290" s="6">
        <f t="shared" ref="AJ290:AJ295" si="212">5/AF290</f>
        <v>19.430051813471504</v>
      </c>
      <c r="AK290" s="6">
        <f t="shared" ref="AK290:AK295" si="213">5/AG290</f>
        <v>20.33898305084746</v>
      </c>
      <c r="AL290" s="6">
        <f t="shared" ref="AL290:AL295" si="214">5/AH290</f>
        <v>20.435967302452315</v>
      </c>
      <c r="AM290" s="63">
        <f t="shared" ref="AM290:AM295" si="215">($AA$297-AI290)*(10^-3)/60*273.15*1000/(22.4*$B$35*$B$36)</f>
        <v>15.372818995639225</v>
      </c>
      <c r="AN290" s="63">
        <f t="shared" ref="AN290:AN295" si="216">($AA$297-AJ290)*(10^-3)/60*273.15*1000/(22.4*$B$35*$B$36)</f>
        <v>14.58234169174426</v>
      </c>
      <c r="AO290" s="63">
        <f t="shared" ref="AO290:AO295" si="217">($AA$297-AK290)*(10^-3)/60*273.15*1000/(22.4*$B$35*$B$36)</f>
        <v>14.14610165568744</v>
      </c>
      <c r="AP290" s="63">
        <f t="shared" ref="AP290:AP295" si="218">($AA$297-AL290)*(10^-3)/60*273.15*1000/(22.4*$B$35*$B$36)</f>
        <v>14.099554225389864</v>
      </c>
      <c r="AQ290" s="62">
        <f t="shared" ref="AQ290:AQ295" si="219">_xlfn.STDEV.P(AM290:AP290)</f>
        <v>0.51090903943758992</v>
      </c>
      <c r="CC290">
        <f t="shared" si="206"/>
        <v>3.7074059484304998E-2</v>
      </c>
      <c r="CE290">
        <v>1.8404617137492973E-3</v>
      </c>
      <c r="CF290">
        <v>75</v>
      </c>
      <c r="CH290" s="104">
        <v>75.152718281820171</v>
      </c>
    </row>
    <row r="291" spans="18:86" x14ac:dyDescent="0.3">
      <c r="R291" t="s">
        <v>76</v>
      </c>
      <c r="S291" t="s">
        <v>79</v>
      </c>
      <c r="T291" t="s">
        <v>6</v>
      </c>
      <c r="U291" t="s">
        <v>13</v>
      </c>
      <c r="V291" t="s">
        <v>6</v>
      </c>
      <c r="W291" t="s">
        <v>1</v>
      </c>
      <c r="X291" t="s">
        <v>23</v>
      </c>
      <c r="AA291" s="6">
        <v>9.1999999999999993</v>
      </c>
      <c r="AB291" s="6">
        <v>12.4</v>
      </c>
      <c r="AC291" s="6">
        <v>11.55</v>
      </c>
      <c r="AD291" s="6">
        <v>11.45</v>
      </c>
      <c r="AE291" s="43">
        <f t="shared" si="207"/>
        <v>0.15333333333333332</v>
      </c>
      <c r="AF291" s="43">
        <f t="shared" si="208"/>
        <v>0.20666666666666667</v>
      </c>
      <c r="AG291" s="43">
        <f t="shared" si="209"/>
        <v>0.1925</v>
      </c>
      <c r="AH291" s="43">
        <f t="shared" si="210"/>
        <v>0.19083333333333333</v>
      </c>
      <c r="AI291" s="6">
        <f t="shared" si="211"/>
        <v>32.608695652173914</v>
      </c>
      <c r="AJ291" s="6">
        <f t="shared" si="212"/>
        <v>24.193548387096776</v>
      </c>
      <c r="AK291" s="6">
        <f t="shared" si="213"/>
        <v>25.974025974025974</v>
      </c>
      <c r="AL291" s="6">
        <f t="shared" si="214"/>
        <v>26.200873362445417</v>
      </c>
      <c r="AM291" s="63">
        <f t="shared" si="215"/>
        <v>8.2572734940961947</v>
      </c>
      <c r="AN291" s="63">
        <f t="shared" si="216"/>
        <v>12.296109431717623</v>
      </c>
      <c r="AO291" s="63">
        <f t="shared" si="217"/>
        <v>11.441572174352917</v>
      </c>
      <c r="AP291" s="63">
        <f t="shared" si="218"/>
        <v>11.332697147470592</v>
      </c>
      <c r="AQ291" s="62">
        <f t="shared" si="219"/>
        <v>1.532572090249412</v>
      </c>
      <c r="CC291">
        <f t="shared" si="206"/>
        <v>3.4040230623875845E-2</v>
      </c>
      <c r="CE291">
        <v>7.2077061172981516E-4</v>
      </c>
      <c r="CF291">
        <v>84</v>
      </c>
      <c r="CH291" s="104">
        <v>84.432080238998495</v>
      </c>
    </row>
    <row r="292" spans="18:86" x14ac:dyDescent="0.3">
      <c r="R292">
        <v>1</v>
      </c>
      <c r="S292">
        <v>1.6666666666666666E-2</v>
      </c>
      <c r="T292">
        <v>1</v>
      </c>
      <c r="U292">
        <v>18.910000000000004</v>
      </c>
      <c r="V292">
        <v>0.31516666666666671</v>
      </c>
      <c r="W292">
        <v>15.86462189317821</v>
      </c>
      <c r="X292">
        <v>16.293563853584732</v>
      </c>
      <c r="AA292" s="6">
        <v>9.31</v>
      </c>
      <c r="AB292" s="6">
        <v>9.7200000000000006</v>
      </c>
      <c r="AC292" s="6">
        <v>8.9700000000000006</v>
      </c>
      <c r="AD292" s="6">
        <v>8.9499999999999993</v>
      </c>
      <c r="AE292" s="43">
        <f t="shared" si="207"/>
        <v>0.15516666666666667</v>
      </c>
      <c r="AF292" s="43">
        <f t="shared" si="208"/>
        <v>0.16200000000000001</v>
      </c>
      <c r="AG292" s="43">
        <f t="shared" si="209"/>
        <v>0.14950000000000002</v>
      </c>
      <c r="AH292" s="43">
        <f t="shared" si="210"/>
        <v>0.14916666666666664</v>
      </c>
      <c r="AI292" s="6">
        <f t="shared" si="211"/>
        <v>32.223415682062296</v>
      </c>
      <c r="AJ292" s="6">
        <f t="shared" si="212"/>
        <v>30.864197530864196</v>
      </c>
      <c r="AK292" s="6">
        <f t="shared" si="213"/>
        <v>33.444816053511701</v>
      </c>
      <c r="AL292" s="6">
        <f t="shared" si="214"/>
        <v>33.519553072625705</v>
      </c>
      <c r="AM292" s="63">
        <f t="shared" si="215"/>
        <v>8.442187975128542</v>
      </c>
      <c r="AN292" s="63">
        <f t="shared" si="216"/>
        <v>9.0945424667615438</v>
      </c>
      <c r="AO292" s="63">
        <f t="shared" si="217"/>
        <v>7.8559788977299672</v>
      </c>
      <c r="AP292" s="63">
        <f t="shared" si="218"/>
        <v>7.8201089896748792</v>
      </c>
      <c r="AQ292" s="62">
        <f t="shared" si="219"/>
        <v>0.51935637943014512</v>
      </c>
      <c r="CC292">
        <f t="shared" si="206"/>
        <v>3.347386996660548E-2</v>
      </c>
      <c r="CE292">
        <v>6.3217459615139138E-3</v>
      </c>
      <c r="CF292">
        <v>94</v>
      </c>
      <c r="CH292" s="104">
        <v>93.96130798294125</v>
      </c>
    </row>
    <row r="293" spans="18:86" x14ac:dyDescent="0.3">
      <c r="R293">
        <v>0.89479017323986576</v>
      </c>
      <c r="S293">
        <v>0.16666666666666666</v>
      </c>
      <c r="T293">
        <v>10</v>
      </c>
      <c r="U293">
        <v>15.435</v>
      </c>
      <c r="V293">
        <v>0.25725000000000003</v>
      </c>
      <c r="W293">
        <v>19.436345966958211</v>
      </c>
      <c r="X293">
        <v>14.579320823243897</v>
      </c>
      <c r="AA293" s="6">
        <v>9.3000000000000007</v>
      </c>
      <c r="AB293" s="6">
        <v>7.59</v>
      </c>
      <c r="AC293" s="6">
        <v>8.7799999999999994</v>
      </c>
      <c r="AD293" s="6">
        <v>8.39</v>
      </c>
      <c r="AE293" s="43">
        <f t="shared" si="207"/>
        <v>0.155</v>
      </c>
      <c r="AF293" s="43">
        <f t="shared" si="208"/>
        <v>0.1265</v>
      </c>
      <c r="AG293" s="43">
        <f t="shared" si="209"/>
        <v>0.14633333333333332</v>
      </c>
      <c r="AH293" s="43">
        <f t="shared" si="210"/>
        <v>0.13983333333333334</v>
      </c>
      <c r="AI293" s="6">
        <f t="shared" si="211"/>
        <v>32.258064516129032</v>
      </c>
      <c r="AJ293" s="6">
        <f t="shared" si="212"/>
        <v>39.525691699604742</v>
      </c>
      <c r="AK293" s="6">
        <f t="shared" si="213"/>
        <v>34.168564920273354</v>
      </c>
      <c r="AL293" s="6">
        <f t="shared" si="214"/>
        <v>35.756853396901072</v>
      </c>
      <c r="AM293" s="63">
        <f t="shared" si="215"/>
        <v>8.4255583248304227</v>
      </c>
      <c r="AN293" s="63">
        <f t="shared" si="216"/>
        <v>4.9374727423391862</v>
      </c>
      <c r="AO293" s="63">
        <f t="shared" si="217"/>
        <v>7.5086168325382339</v>
      </c>
      <c r="AP293" s="63">
        <f t="shared" si="218"/>
        <v>6.7463204191010506</v>
      </c>
      <c r="AQ293" s="62">
        <f t="shared" si="219"/>
        <v>1.2818729058330089</v>
      </c>
      <c r="CC293">
        <f t="shared" si="206"/>
        <v>4.4209329717069222E-2</v>
      </c>
      <c r="CE293">
        <v>7.2454718775483151E-4</v>
      </c>
      <c r="CF293">
        <v>104</v>
      </c>
      <c r="CH293" s="104">
        <v>103.49068545909603</v>
      </c>
    </row>
    <row r="294" spans="18:86" x14ac:dyDescent="0.3">
      <c r="R294">
        <v>0.80388278676348535</v>
      </c>
      <c r="S294">
        <v>0.33333333333333331</v>
      </c>
      <c r="T294">
        <v>20</v>
      </c>
      <c r="U294">
        <v>13.32</v>
      </c>
      <c r="V294">
        <v>0.222</v>
      </c>
      <c r="W294">
        <v>22.522522522522522</v>
      </c>
      <c r="X294">
        <v>13.098115516928488</v>
      </c>
      <c r="AA294" s="6">
        <v>7.96</v>
      </c>
      <c r="AB294" s="6">
        <v>9.6</v>
      </c>
      <c r="AC294" s="6">
        <v>8.11</v>
      </c>
      <c r="AD294" s="6">
        <v>7.91</v>
      </c>
      <c r="AE294" s="43">
        <f t="shared" si="207"/>
        <v>0.13266666666666665</v>
      </c>
      <c r="AF294" s="43">
        <f t="shared" si="208"/>
        <v>0.16</v>
      </c>
      <c r="AG294" s="43">
        <f t="shared" si="209"/>
        <v>0.13516666666666666</v>
      </c>
      <c r="AH294" s="43">
        <f t="shared" si="210"/>
        <v>0.13183333333333333</v>
      </c>
      <c r="AI294" s="6">
        <f t="shared" si="211"/>
        <v>37.688442211055282</v>
      </c>
      <c r="AJ294" s="6">
        <f t="shared" si="212"/>
        <v>31.25</v>
      </c>
      <c r="AK294" s="6">
        <f t="shared" si="213"/>
        <v>36.991368680641187</v>
      </c>
      <c r="AL294" s="6">
        <f t="shared" si="214"/>
        <v>37.926675094816687</v>
      </c>
      <c r="AM294" s="63">
        <f t="shared" si="215"/>
        <v>5.8192575794892871</v>
      </c>
      <c r="AN294" s="63">
        <f t="shared" si="216"/>
        <v>8.9093772131913198</v>
      </c>
      <c r="AO294" s="63">
        <f t="shared" si="217"/>
        <v>6.1538168613553168</v>
      </c>
      <c r="AP294" s="63">
        <f t="shared" si="218"/>
        <v>5.7049181030487714</v>
      </c>
      <c r="AQ294" s="62">
        <f t="shared" si="219"/>
        <v>1.3166487742546733</v>
      </c>
      <c r="CC294">
        <f t="shared" si="206"/>
        <v>4.4852558954401822E-2</v>
      </c>
      <c r="CE294">
        <v>4.0828657731908358E-3</v>
      </c>
      <c r="CF294">
        <v>113</v>
      </c>
      <c r="CH294" s="104">
        <v>113.32381805891949</v>
      </c>
    </row>
    <row r="295" spans="18:86" x14ac:dyDescent="0.3">
      <c r="R295">
        <v>0.67476671610565753</v>
      </c>
      <c r="S295">
        <v>0.5</v>
      </c>
      <c r="T295">
        <v>30</v>
      </c>
      <c r="U295">
        <v>11.150000000000002</v>
      </c>
      <c r="V295">
        <v>0.18583333333333338</v>
      </c>
      <c r="W295">
        <v>26.905829596412548</v>
      </c>
      <c r="X295">
        <v>10.994354575141212</v>
      </c>
      <c r="AA295" s="6">
        <v>8.2799999999999994</v>
      </c>
      <c r="AB295" s="6">
        <v>8.4700000000000006</v>
      </c>
      <c r="AC295" s="6">
        <v>8.4</v>
      </c>
      <c r="AD295" s="6">
        <v>8.3699999999999992</v>
      </c>
      <c r="AE295" s="43">
        <f t="shared" si="207"/>
        <v>0.13799999999999998</v>
      </c>
      <c r="AF295" s="43">
        <f t="shared" si="208"/>
        <v>0.14116666666666669</v>
      </c>
      <c r="AG295" s="43">
        <f t="shared" si="209"/>
        <v>0.14000000000000001</v>
      </c>
      <c r="AH295" s="43">
        <f t="shared" si="210"/>
        <v>0.13949999999999999</v>
      </c>
      <c r="AI295" s="6">
        <f t="shared" si="211"/>
        <v>36.231884057971016</v>
      </c>
      <c r="AJ295" s="6">
        <f t="shared" si="212"/>
        <v>35.419126328217232</v>
      </c>
      <c r="AK295" s="6">
        <f t="shared" si="213"/>
        <v>35.714285714285708</v>
      </c>
      <c r="AL295" s="6">
        <f t="shared" si="214"/>
        <v>35.842293906810042</v>
      </c>
      <c r="AM295" s="63">
        <f t="shared" si="215"/>
        <v>6.5183302431758579</v>
      </c>
      <c r="AN295" s="63">
        <f t="shared" si="216"/>
        <v>6.908411964161532</v>
      </c>
      <c r="AO295" s="63">
        <f t="shared" si="217"/>
        <v>6.7667507075930509</v>
      </c>
      <c r="AP295" s="63">
        <f t="shared" si="218"/>
        <v>6.7053133884361058</v>
      </c>
      <c r="AQ295" s="62">
        <f t="shared" si="219"/>
        <v>0.14007378860337868</v>
      </c>
      <c r="CC295">
        <f t="shared" si="206"/>
        <v>3.6072976792198654E-2</v>
      </c>
      <c r="CE295">
        <v>0</v>
      </c>
      <c r="CF295">
        <v>120</v>
      </c>
      <c r="CH295" s="104">
        <v>119.7693093088764</v>
      </c>
    </row>
    <row r="296" spans="18:86" x14ac:dyDescent="0.3">
      <c r="R296">
        <v>0.59839546335001392</v>
      </c>
      <c r="S296">
        <v>0.66666666666666663</v>
      </c>
      <c r="T296">
        <v>40</v>
      </c>
      <c r="U296">
        <v>10.17</v>
      </c>
      <c r="V296">
        <v>0.16950000000000001</v>
      </c>
      <c r="W296">
        <v>29.498525073746311</v>
      </c>
      <c r="X296">
        <v>9.7499946917888742</v>
      </c>
      <c r="AA296" t="s">
        <v>212</v>
      </c>
      <c r="CE296">
        <v>1.2000815869225192E-2</v>
      </c>
      <c r="CF296">
        <v>126</v>
      </c>
      <c r="CH296" s="104">
        <v>126.21480055883335</v>
      </c>
    </row>
    <row r="297" spans="18:86" x14ac:dyDescent="0.3">
      <c r="R297">
        <v>0.52888203737242812</v>
      </c>
      <c r="S297">
        <v>0.83333333333333337</v>
      </c>
      <c r="T297">
        <v>50</v>
      </c>
      <c r="U297">
        <v>9.4166666666666661</v>
      </c>
      <c r="V297">
        <v>0.15694444444444444</v>
      </c>
      <c r="W297">
        <v>31.858407079646017</v>
      </c>
      <c r="X297">
        <v>8.6173732469416446</v>
      </c>
      <c r="AA297">
        <v>49.813200498131998</v>
      </c>
    </row>
    <row r="298" spans="18:86" x14ac:dyDescent="0.3">
      <c r="R298">
        <v>0.50005253091127766</v>
      </c>
      <c r="S298">
        <v>1</v>
      </c>
      <c r="T298">
        <v>60</v>
      </c>
      <c r="U298">
        <v>9.136000000000001</v>
      </c>
      <c r="V298">
        <v>0.15226666666666669</v>
      </c>
      <c r="W298">
        <v>32.83712784588441</v>
      </c>
      <c r="X298">
        <v>8.147637842549555</v>
      </c>
    </row>
    <row r="299" spans="18:86" x14ac:dyDescent="0.3">
      <c r="R299">
        <v>0.41904587675304028</v>
      </c>
      <c r="S299">
        <v>1.3333333333333333</v>
      </c>
      <c r="T299">
        <v>80</v>
      </c>
      <c r="U299">
        <v>8.4300000000000015</v>
      </c>
      <c r="V299">
        <v>0.14050000000000001</v>
      </c>
      <c r="W299">
        <v>35.587188612099638</v>
      </c>
      <c r="X299">
        <v>6.82775075045706</v>
      </c>
    </row>
    <row r="300" spans="18:86" x14ac:dyDescent="0.3">
      <c r="R300">
        <v>0.39941065635979489</v>
      </c>
      <c r="S300">
        <v>1.8333333333333333</v>
      </c>
      <c r="T300">
        <v>110</v>
      </c>
      <c r="U300">
        <v>8.2750000000000004</v>
      </c>
      <c r="V300">
        <v>0.13791666666666666</v>
      </c>
      <c r="W300">
        <v>36.253776435045317</v>
      </c>
      <c r="X300">
        <v>6.5078230332005074</v>
      </c>
      <c r="BM300" t="s">
        <v>284</v>
      </c>
    </row>
    <row r="301" spans="18:86" x14ac:dyDescent="0.3">
      <c r="R301">
        <v>0.44016556113447103</v>
      </c>
      <c r="S301">
        <v>2.3333333333333335</v>
      </c>
      <c r="T301">
        <v>140</v>
      </c>
      <c r="U301">
        <v>8.6033333333333335</v>
      </c>
      <c r="V301">
        <v>0.1433888888888889</v>
      </c>
      <c r="W301">
        <v>34.87020534676482</v>
      </c>
      <c r="X301">
        <v>7.1718656764934581</v>
      </c>
    </row>
    <row r="302" spans="18:86" x14ac:dyDescent="0.3">
      <c r="R302">
        <v>0.41404817753341272</v>
      </c>
      <c r="S302">
        <v>3</v>
      </c>
      <c r="T302">
        <v>180</v>
      </c>
      <c r="U302">
        <v>8.3899999999999988</v>
      </c>
      <c r="V302">
        <v>0.13983333333333331</v>
      </c>
      <c r="W302">
        <v>35.756853396901079</v>
      </c>
      <c r="X302">
        <v>6.746320419101048</v>
      </c>
    </row>
    <row r="305" spans="1:43" x14ac:dyDescent="0.3">
      <c r="U305" s="23">
        <v>42343</v>
      </c>
    </row>
    <row r="306" spans="1:43" x14ac:dyDescent="0.3">
      <c r="S306" t="s">
        <v>10</v>
      </c>
      <c r="T306">
        <v>3</v>
      </c>
      <c r="U306" t="s">
        <v>11</v>
      </c>
    </row>
    <row r="307" spans="1:43" x14ac:dyDescent="0.3">
      <c r="S307" t="s">
        <v>12</v>
      </c>
      <c r="T307" t="s">
        <v>14</v>
      </c>
      <c r="V307" t="s">
        <v>15</v>
      </c>
      <c r="W307" t="s">
        <v>22</v>
      </c>
      <c r="AQ307" t="s">
        <v>289</v>
      </c>
    </row>
    <row r="308" spans="1:43" x14ac:dyDescent="0.3">
      <c r="S308" t="s">
        <v>6</v>
      </c>
      <c r="T308" t="s">
        <v>13</v>
      </c>
      <c r="U308" t="s">
        <v>6</v>
      </c>
      <c r="V308" t="s">
        <v>1</v>
      </c>
      <c r="W308" t="s">
        <v>23</v>
      </c>
      <c r="AA308" t="s">
        <v>163</v>
      </c>
      <c r="AQ308">
        <v>40</v>
      </c>
    </row>
    <row r="309" spans="1:43" x14ac:dyDescent="0.3">
      <c r="R309">
        <v>1.6666666666666666E-2</v>
      </c>
      <c r="S309">
        <v>1</v>
      </c>
      <c r="T309">
        <v>12.784000000000001</v>
      </c>
      <c r="U309">
        <v>0.21306666666666668</v>
      </c>
      <c r="V309">
        <v>23.466833541927407</v>
      </c>
      <c r="W309">
        <v>17.426447563790319</v>
      </c>
      <c r="AA309" t="s">
        <v>14</v>
      </c>
      <c r="AI309" t="s">
        <v>15</v>
      </c>
      <c r="AM309" t="s">
        <v>22</v>
      </c>
    </row>
    <row r="310" spans="1:43" x14ac:dyDescent="0.3">
      <c r="R310">
        <v>0.16666666666666666</v>
      </c>
      <c r="S310">
        <v>10</v>
      </c>
      <c r="T310">
        <v>10.93</v>
      </c>
      <c r="U310">
        <v>0.18216666666666667</v>
      </c>
      <c r="V310">
        <v>27.447392497712716</v>
      </c>
      <c r="W310">
        <v>15.515984911619588</v>
      </c>
      <c r="AA310" t="s">
        <v>13</v>
      </c>
      <c r="AE310" t="s">
        <v>6</v>
      </c>
      <c r="AI310" t="s">
        <v>1</v>
      </c>
      <c r="AM310" t="s">
        <v>23</v>
      </c>
      <c r="AQ310" t="s">
        <v>213</v>
      </c>
    </row>
    <row r="311" spans="1:43" x14ac:dyDescent="0.3">
      <c r="A311" t="s">
        <v>161</v>
      </c>
      <c r="G311" t="s">
        <v>285</v>
      </c>
      <c r="H311">
        <v>0.2</v>
      </c>
      <c r="I311">
        <v>0.15</v>
      </c>
      <c r="J311">
        <v>0.1</v>
      </c>
      <c r="K311" t="s">
        <v>286</v>
      </c>
      <c r="R311">
        <v>0.5</v>
      </c>
      <c r="S311">
        <v>30</v>
      </c>
      <c r="T311">
        <v>8.6280000000000001</v>
      </c>
      <c r="U311">
        <v>0.14380000000000001</v>
      </c>
      <c r="V311">
        <v>34.770514603616128</v>
      </c>
      <c r="W311">
        <v>12.001264633383139</v>
      </c>
      <c r="AA311" s="6">
        <v>13.47</v>
      </c>
      <c r="AB311" s="6">
        <v>12.74</v>
      </c>
      <c r="AC311" s="6">
        <v>12.53</v>
      </c>
      <c r="AD311" s="6">
        <v>12.56</v>
      </c>
      <c r="AE311" s="43">
        <f>AA311/60</f>
        <v>0.22450000000000001</v>
      </c>
      <c r="AF311" s="43">
        <f t="shared" ref="AF311:AF317" si="220">AB311/60</f>
        <v>0.21233333333333335</v>
      </c>
      <c r="AG311" s="43">
        <f t="shared" ref="AG311:AG317" si="221">AC311/60</f>
        <v>0.20883333333333332</v>
      </c>
      <c r="AH311" s="43">
        <f t="shared" ref="AH311:AH317" si="222">AD311/60</f>
        <v>0.20933333333333334</v>
      </c>
      <c r="AI311" s="6">
        <f>5/AE311</f>
        <v>22.271714922048996</v>
      </c>
      <c r="AJ311" s="6">
        <f t="shared" ref="AJ311:AJ317" si="223">5/AF311</f>
        <v>23.547880690737831</v>
      </c>
      <c r="AK311" s="6">
        <f t="shared" ref="AK311:AK317" si="224">5/AG311</f>
        <v>23.942537909018359</v>
      </c>
      <c r="AL311" s="6">
        <f t="shared" ref="AL311:AL317" si="225">5/AH311</f>
        <v>23.885350318471335</v>
      </c>
      <c r="AM311" s="63">
        <f t="shared" ref="AM311:AP317" si="226">($AC$318-AI311)*(10^-3)/60*273.15*1000/(22.4*$B$35*$B$36)</f>
        <v>18.000042758222271</v>
      </c>
      <c r="AN311" s="63">
        <f t="shared" si="226"/>
        <v>17.387549119479576</v>
      </c>
      <c r="AO311" s="63">
        <f t="shared" si="226"/>
        <v>17.198134043780545</v>
      </c>
      <c r="AP311" s="63">
        <f t="shared" si="226"/>
        <v>17.225581132775151</v>
      </c>
      <c r="AQ311" s="62">
        <f>_xlfn.STDEV.P(AM311:AP311)</f>
        <v>0.32412014510454656</v>
      </c>
    </row>
    <row r="312" spans="1:43" x14ac:dyDescent="0.3">
      <c r="A312">
        <v>1</v>
      </c>
      <c r="B312">
        <v>0</v>
      </c>
      <c r="H312">
        <v>50</v>
      </c>
      <c r="I312">
        <v>40</v>
      </c>
      <c r="J312">
        <v>30</v>
      </c>
      <c r="R312">
        <v>0.83333333333333337</v>
      </c>
      <c r="S312">
        <v>50</v>
      </c>
      <c r="T312">
        <v>7.4580000000000002</v>
      </c>
      <c r="U312">
        <v>0.12430000000000001</v>
      </c>
      <c r="V312">
        <v>40.225261464199512</v>
      </c>
      <c r="W312">
        <v>9.3832679475045939</v>
      </c>
      <c r="AA312" s="6">
        <v>11.43</v>
      </c>
      <c r="AB312" s="6">
        <v>10.76</v>
      </c>
      <c r="AC312" s="6">
        <v>10.74</v>
      </c>
      <c r="AD312" s="6">
        <v>11.35</v>
      </c>
      <c r="AE312" s="43">
        <f t="shared" ref="AE312:AE317" si="227">AA312/60</f>
        <v>0.1905</v>
      </c>
      <c r="AF312" s="43">
        <f t="shared" si="220"/>
        <v>0.17933333333333332</v>
      </c>
      <c r="AG312" s="43">
        <f t="shared" si="221"/>
        <v>0.17899999999999999</v>
      </c>
      <c r="AH312" s="43">
        <f t="shared" si="222"/>
        <v>0.18916666666666665</v>
      </c>
      <c r="AI312" s="6">
        <f t="shared" ref="AI312:AI317" si="228">5/AE312</f>
        <v>26.246719160104988</v>
      </c>
      <c r="AJ312" s="6">
        <f t="shared" si="223"/>
        <v>27.881040892193312</v>
      </c>
      <c r="AK312" s="6">
        <f t="shared" si="224"/>
        <v>27.932960893854748</v>
      </c>
      <c r="AL312" s="6">
        <f t="shared" si="225"/>
        <v>26.431718061674012</v>
      </c>
      <c r="AM312" s="63">
        <f t="shared" si="226"/>
        <v>16.092246083589643</v>
      </c>
      <c r="AN312" s="63">
        <f t="shared" si="226"/>
        <v>15.307856085735756</v>
      </c>
      <c r="AO312" s="63">
        <f t="shared" si="226"/>
        <v>15.282937167268125</v>
      </c>
      <c r="AP312" s="63">
        <f t="shared" si="226"/>
        <v>16.003456168387771</v>
      </c>
      <c r="AQ312" s="62">
        <f t="shared" ref="AQ312:AQ317" si="229">_xlfn.STDEV.P(AM312:AP312)</f>
        <v>0.37763741689862274</v>
      </c>
    </row>
    <row r="313" spans="1:43" x14ac:dyDescent="0.3">
      <c r="A313">
        <v>1</v>
      </c>
      <c r="B313">
        <f>B312+2</f>
        <v>2</v>
      </c>
      <c r="R313">
        <v>1.3333333333333333</v>
      </c>
      <c r="S313">
        <v>80</v>
      </c>
      <c r="T313">
        <v>6.5200000000000005</v>
      </c>
      <c r="U313">
        <v>0.10866666666666668</v>
      </c>
      <c r="V313">
        <v>46.012269938650306</v>
      </c>
      <c r="W313">
        <v>6.6058028525170522</v>
      </c>
      <c r="AA313" s="6">
        <v>8.75</v>
      </c>
      <c r="AB313" s="6">
        <v>8.64</v>
      </c>
      <c r="AC313" s="6">
        <v>8.66</v>
      </c>
      <c r="AD313" s="6">
        <v>8.39</v>
      </c>
      <c r="AE313" s="43">
        <f t="shared" si="227"/>
        <v>0.14583333333333334</v>
      </c>
      <c r="AF313" s="43">
        <f t="shared" si="220"/>
        <v>0.14400000000000002</v>
      </c>
      <c r="AG313" s="43">
        <f t="shared" si="221"/>
        <v>0.14433333333333334</v>
      </c>
      <c r="AH313" s="43">
        <f t="shared" si="222"/>
        <v>0.13983333333333334</v>
      </c>
      <c r="AI313" s="6">
        <f t="shared" si="228"/>
        <v>34.285714285714285</v>
      </c>
      <c r="AJ313" s="6">
        <f t="shared" si="223"/>
        <v>34.722222222222221</v>
      </c>
      <c r="AK313" s="6">
        <f t="shared" si="224"/>
        <v>34.64203233256351</v>
      </c>
      <c r="AL313" s="6">
        <f t="shared" si="225"/>
        <v>35.756853396901072</v>
      </c>
      <c r="AM313" s="63">
        <f t="shared" si="226"/>
        <v>12.233943739860344</v>
      </c>
      <c r="AN313" s="63">
        <f t="shared" si="226"/>
        <v>12.02444248153518</v>
      </c>
      <c r="AO313" s="63">
        <f t="shared" si="226"/>
        <v>12.062929485741464</v>
      </c>
      <c r="AP313" s="63">
        <f t="shared" si="226"/>
        <v>11.527872969576901</v>
      </c>
      <c r="AQ313" s="62">
        <f t="shared" si="229"/>
        <v>0.2629187838227966</v>
      </c>
    </row>
    <row r="314" spans="1:43" x14ac:dyDescent="0.3">
      <c r="A314">
        <v>1</v>
      </c>
      <c r="B314">
        <f t="shared" ref="B314:B345" si="230">B313+2</f>
        <v>4</v>
      </c>
      <c r="G314" t="s">
        <v>2</v>
      </c>
      <c r="H314" t="s">
        <v>147</v>
      </c>
      <c r="R314">
        <v>1.8333333333333333</v>
      </c>
      <c r="S314">
        <v>110</v>
      </c>
      <c r="T314">
        <v>5.9480000000000004</v>
      </c>
      <c r="U314">
        <v>9.9133333333333337E-2</v>
      </c>
      <c r="V314">
        <v>50.437121721587083</v>
      </c>
      <c r="W314">
        <v>4.4821025967010915</v>
      </c>
      <c r="AA314" s="6">
        <v>7.37</v>
      </c>
      <c r="AB314" s="6">
        <v>7.56</v>
      </c>
      <c r="AC314" s="6">
        <v>7.64</v>
      </c>
      <c r="AD314" s="6">
        <v>7.39</v>
      </c>
      <c r="AE314" s="43">
        <f t="shared" si="227"/>
        <v>0.12283333333333334</v>
      </c>
      <c r="AF314" s="43">
        <f t="shared" si="220"/>
        <v>0.126</v>
      </c>
      <c r="AG314" s="43">
        <f t="shared" si="221"/>
        <v>0.12733333333333333</v>
      </c>
      <c r="AH314" s="43">
        <f t="shared" si="222"/>
        <v>0.12316666666666666</v>
      </c>
      <c r="AI314" s="6">
        <f t="shared" si="228"/>
        <v>40.705563093622793</v>
      </c>
      <c r="AJ314" s="6">
        <f t="shared" si="223"/>
        <v>39.682539682539684</v>
      </c>
      <c r="AK314" s="6">
        <f t="shared" si="224"/>
        <v>39.267015706806284</v>
      </c>
      <c r="AL314" s="6">
        <f t="shared" si="225"/>
        <v>40.595399188092017</v>
      </c>
      <c r="AM314" s="63">
        <f t="shared" si="226"/>
        <v>9.1527479790825002</v>
      </c>
      <c r="AN314" s="63">
        <f t="shared" si="226"/>
        <v>9.6437463642037677</v>
      </c>
      <c r="AO314" s="63">
        <f t="shared" si="226"/>
        <v>9.8431764054461901</v>
      </c>
      <c r="AP314" s="63">
        <f t="shared" si="226"/>
        <v>9.2056209623674015</v>
      </c>
      <c r="AQ314" s="62">
        <f t="shared" si="229"/>
        <v>0.29141567504251997</v>
      </c>
    </row>
    <row r="315" spans="1:43" x14ac:dyDescent="0.3">
      <c r="A315">
        <v>1</v>
      </c>
      <c r="B315">
        <f>B314+2</f>
        <v>6</v>
      </c>
      <c r="F315" t="s">
        <v>85</v>
      </c>
      <c r="G315" t="s">
        <v>6</v>
      </c>
      <c r="H315" t="s">
        <v>209</v>
      </c>
      <c r="I315" t="s">
        <v>210</v>
      </c>
      <c r="J315" t="s">
        <v>211</v>
      </c>
      <c r="R315">
        <v>2.3333333333333335</v>
      </c>
      <c r="S315">
        <v>140</v>
      </c>
      <c r="T315">
        <v>5.8120000000000003</v>
      </c>
      <c r="U315">
        <v>9.686666666666667E-2</v>
      </c>
      <c r="V315">
        <v>51.617343427391603</v>
      </c>
      <c r="W315">
        <v>3.9156571514091172</v>
      </c>
      <c r="AA315" s="6">
        <v>6.43</v>
      </c>
      <c r="AB315" s="6">
        <v>6.5</v>
      </c>
      <c r="AC315" s="6">
        <v>6.53</v>
      </c>
      <c r="AD315" s="6">
        <v>6.56</v>
      </c>
      <c r="AE315" s="43">
        <f t="shared" si="227"/>
        <v>0.10716666666666666</v>
      </c>
      <c r="AF315" s="43">
        <f t="shared" si="220"/>
        <v>0.10833333333333334</v>
      </c>
      <c r="AG315" s="43">
        <f t="shared" si="221"/>
        <v>0.10883333333333334</v>
      </c>
      <c r="AH315" s="43">
        <f t="shared" si="222"/>
        <v>0.10933333333333332</v>
      </c>
      <c r="AI315" s="6">
        <f t="shared" si="228"/>
        <v>46.656298600311047</v>
      </c>
      <c r="AJ315" s="6">
        <f t="shared" si="223"/>
        <v>46.153846153846153</v>
      </c>
      <c r="AK315" s="6">
        <f t="shared" si="224"/>
        <v>45.94180704441041</v>
      </c>
      <c r="AL315" s="6">
        <f t="shared" si="225"/>
        <v>45.731707317073173</v>
      </c>
      <c r="AM315" s="63">
        <f t="shared" si="226"/>
        <v>6.2967023672090541</v>
      </c>
      <c r="AN315" s="63">
        <f t="shared" si="226"/>
        <v>6.537853583439091</v>
      </c>
      <c r="AO315" s="63">
        <f t="shared" si="226"/>
        <v>6.6396214014455959</v>
      </c>
      <c r="AP315" s="63">
        <f t="shared" si="226"/>
        <v>6.7404584162386261</v>
      </c>
      <c r="AQ315" s="62">
        <f t="shared" si="229"/>
        <v>0.16474228259412999</v>
      </c>
    </row>
    <row r="316" spans="1:43" x14ac:dyDescent="0.3">
      <c r="A316">
        <v>1</v>
      </c>
      <c r="B316">
        <f t="shared" si="230"/>
        <v>8</v>
      </c>
      <c r="F316">
        <f>G316/60</f>
        <v>1.6666666666666666E-2</v>
      </c>
      <c r="G316">
        <v>1</v>
      </c>
      <c r="H316">
        <v>16.293563853584732</v>
      </c>
      <c r="I316">
        <v>17.426447563790319</v>
      </c>
      <c r="J316">
        <v>18.162837468694921</v>
      </c>
      <c r="R316">
        <v>3</v>
      </c>
      <c r="S316">
        <v>180</v>
      </c>
      <c r="T316">
        <v>5.5739999999999998</v>
      </c>
      <c r="U316">
        <v>9.2899999999999996E-2</v>
      </c>
      <c r="V316">
        <v>53.821313240043061</v>
      </c>
      <c r="W316">
        <v>2.8578655044690113</v>
      </c>
      <c r="AA316" s="6">
        <v>5.87</v>
      </c>
      <c r="AB316" s="6">
        <v>5.96</v>
      </c>
      <c r="AC316" s="6">
        <v>6.06</v>
      </c>
      <c r="AD316" s="6">
        <v>5.89</v>
      </c>
      <c r="AE316" s="43">
        <f t="shared" si="227"/>
        <v>9.7833333333333342E-2</v>
      </c>
      <c r="AF316" s="43">
        <f t="shared" si="220"/>
        <v>9.9333333333333329E-2</v>
      </c>
      <c r="AG316" s="43">
        <f t="shared" si="221"/>
        <v>0.10099999999999999</v>
      </c>
      <c r="AH316" s="43">
        <f t="shared" si="222"/>
        <v>9.8166666666666666E-2</v>
      </c>
      <c r="AI316" s="6">
        <f t="shared" si="228"/>
        <v>51.107325383304939</v>
      </c>
      <c r="AJ316" s="6">
        <f t="shared" si="223"/>
        <v>50.335570469798661</v>
      </c>
      <c r="AK316" s="6">
        <f t="shared" si="224"/>
        <v>49.504950495049506</v>
      </c>
      <c r="AL316" s="6">
        <f t="shared" si="225"/>
        <v>50.933786078098471</v>
      </c>
      <c r="AM316" s="63">
        <f t="shared" si="226"/>
        <v>4.1604394636380553</v>
      </c>
      <c r="AN316" s="63">
        <f t="shared" si="226"/>
        <v>4.5308419511430085</v>
      </c>
      <c r="AO316" s="63">
        <f t="shared" si="226"/>
        <v>4.9294966269138341</v>
      </c>
      <c r="AP316" s="63">
        <f t="shared" si="226"/>
        <v>4.2437293646201164</v>
      </c>
      <c r="AQ316" s="62">
        <f t="shared" si="229"/>
        <v>0.30075114885783005</v>
      </c>
    </row>
    <row r="317" spans="1:43" x14ac:dyDescent="0.3">
      <c r="A317">
        <v>1</v>
      </c>
      <c r="B317">
        <f t="shared" si="230"/>
        <v>10</v>
      </c>
      <c r="F317">
        <f t="shared" ref="F317:F323" si="231">G317/60</f>
        <v>0.16666666666666666</v>
      </c>
      <c r="G317">
        <v>10</v>
      </c>
      <c r="H317">
        <v>14.579320823243897</v>
      </c>
      <c r="I317">
        <v>15.515984911619588</v>
      </c>
      <c r="J317">
        <v>14.547151295834921</v>
      </c>
      <c r="R317">
        <v>4.25</v>
      </c>
      <c r="S317">
        <v>255</v>
      </c>
      <c r="T317">
        <v>5.5939999999999994</v>
      </c>
      <c r="U317">
        <v>9.3233333333333321E-2</v>
      </c>
      <c r="V317">
        <v>53.628888094386852</v>
      </c>
      <c r="W317">
        <v>2.9502196331725696</v>
      </c>
      <c r="AA317" s="6">
        <v>5.4</v>
      </c>
      <c r="AB317" s="6">
        <v>5.46</v>
      </c>
      <c r="AC317" s="6">
        <v>5.88</v>
      </c>
      <c r="AD317" s="6">
        <v>5.71</v>
      </c>
      <c r="AE317" s="43">
        <f t="shared" si="227"/>
        <v>9.0000000000000011E-2</v>
      </c>
      <c r="AF317" s="43">
        <f t="shared" si="220"/>
        <v>9.0999999999999998E-2</v>
      </c>
      <c r="AG317" s="43">
        <f t="shared" si="221"/>
        <v>9.8000000000000004E-2</v>
      </c>
      <c r="AH317" s="43">
        <f t="shared" si="222"/>
        <v>9.5166666666666663E-2</v>
      </c>
      <c r="AI317" s="6">
        <f t="shared" si="228"/>
        <v>55.55555555555555</v>
      </c>
      <c r="AJ317" s="6">
        <f t="shared" si="223"/>
        <v>54.945054945054949</v>
      </c>
      <c r="AK317" s="6">
        <f t="shared" si="224"/>
        <v>51.020408163265301</v>
      </c>
      <c r="AL317" s="6">
        <f t="shared" si="225"/>
        <v>52.539404553415061</v>
      </c>
      <c r="AM317" s="63">
        <f t="shared" si="226"/>
        <v>2.0255187887432422</v>
      </c>
      <c r="AN317" s="63">
        <f t="shared" si="226"/>
        <v>2.3185275416455653</v>
      </c>
      <c r="AO317" s="63">
        <f t="shared" si="226"/>
        <v>4.2021552388748207</v>
      </c>
      <c r="AP317" s="63">
        <f t="shared" si="226"/>
        <v>3.4731154471275949</v>
      </c>
      <c r="AQ317" s="62">
        <f t="shared" si="229"/>
        <v>0.87791521522189608</v>
      </c>
    </row>
    <row r="318" spans="1:43" x14ac:dyDescent="0.3">
      <c r="A318">
        <v>1</v>
      </c>
      <c r="B318">
        <f t="shared" si="230"/>
        <v>12</v>
      </c>
      <c r="F318">
        <f t="shared" si="231"/>
        <v>0.5</v>
      </c>
      <c r="G318">
        <v>30</v>
      </c>
      <c r="H318">
        <v>10.994354575141212</v>
      </c>
      <c r="I318">
        <v>12.001264633383139</v>
      </c>
      <c r="J318">
        <v>12.68937778221083</v>
      </c>
      <c r="AA318" t="s">
        <v>8</v>
      </c>
      <c r="AB318" t="s">
        <v>1</v>
      </c>
      <c r="AC318">
        <v>59.775840597758403</v>
      </c>
    </row>
    <row r="319" spans="1:43" x14ac:dyDescent="0.3">
      <c r="A319">
        <v>1</v>
      </c>
      <c r="B319">
        <f t="shared" si="230"/>
        <v>14</v>
      </c>
      <c r="F319">
        <f t="shared" si="231"/>
        <v>1</v>
      </c>
      <c r="G319">
        <v>60</v>
      </c>
      <c r="H319">
        <v>8.147637842549555</v>
      </c>
      <c r="I319">
        <v>9.3832679475045939</v>
      </c>
      <c r="J319">
        <v>8.7637830411161524</v>
      </c>
      <c r="S319" s="17">
        <v>42481</v>
      </c>
    </row>
    <row r="320" spans="1:43" x14ac:dyDescent="0.3">
      <c r="A320">
        <v>1</v>
      </c>
      <c r="B320">
        <f t="shared" si="230"/>
        <v>16</v>
      </c>
      <c r="F320">
        <f t="shared" si="231"/>
        <v>1.5</v>
      </c>
      <c r="G320">
        <v>90</v>
      </c>
      <c r="H320">
        <v>6.82775075045706</v>
      </c>
      <c r="I320">
        <v>6.6058028525170522</v>
      </c>
      <c r="J320">
        <v>6.6276642287046723</v>
      </c>
      <c r="R320" s="5">
        <v>3</v>
      </c>
      <c r="S320" s="5" t="s">
        <v>11</v>
      </c>
      <c r="AO320" t="s">
        <v>260</v>
      </c>
    </row>
    <row r="321" spans="1:67" x14ac:dyDescent="0.3">
      <c r="A321">
        <v>1</v>
      </c>
      <c r="B321">
        <f t="shared" si="230"/>
        <v>18</v>
      </c>
      <c r="F321">
        <f t="shared" si="231"/>
        <v>2</v>
      </c>
      <c r="G321">
        <v>120</v>
      </c>
      <c r="H321">
        <v>6.5078230332005074</v>
      </c>
      <c r="I321">
        <v>4.4821025967010915</v>
      </c>
      <c r="J321">
        <v>5.0053398170198493</v>
      </c>
      <c r="R321" t="s">
        <v>12</v>
      </c>
      <c r="S321" t="s">
        <v>157</v>
      </c>
      <c r="AH321" t="s">
        <v>288</v>
      </c>
      <c r="AO321" t="s">
        <v>290</v>
      </c>
    </row>
    <row r="322" spans="1:67" x14ac:dyDescent="0.3">
      <c r="A322">
        <v>1</v>
      </c>
      <c r="B322">
        <f t="shared" si="230"/>
        <v>20</v>
      </c>
      <c r="F322">
        <f t="shared" si="231"/>
        <v>3</v>
      </c>
      <c r="G322">
        <v>180</v>
      </c>
      <c r="H322">
        <v>6.746320419101048</v>
      </c>
      <c r="I322">
        <v>2.8578655044690113</v>
      </c>
      <c r="J322">
        <v>4.5</v>
      </c>
      <c r="Q322" t="s">
        <v>6</v>
      </c>
      <c r="R322" t="s">
        <v>85</v>
      </c>
      <c r="S322" t="s">
        <v>23</v>
      </c>
      <c r="AI322" t="s">
        <v>287</v>
      </c>
      <c r="AO322">
        <v>0.1</v>
      </c>
      <c r="AP322">
        <v>0.15</v>
      </c>
      <c r="AQ322">
        <v>0.2</v>
      </c>
    </row>
    <row r="323" spans="1:67" x14ac:dyDescent="0.3">
      <c r="A323">
        <v>1</v>
      </c>
      <c r="B323">
        <f t="shared" si="230"/>
        <v>22</v>
      </c>
      <c r="F323">
        <f t="shared" si="231"/>
        <v>4</v>
      </c>
      <c r="G323">
        <v>240</v>
      </c>
      <c r="H323">
        <v>3.2</v>
      </c>
      <c r="I323">
        <v>2.9502196331725696</v>
      </c>
      <c r="J323">
        <v>3.8012889916842547</v>
      </c>
      <c r="Q323">
        <f>R323*60</f>
        <v>1</v>
      </c>
      <c r="R323">
        <v>1.6666666666666666E-2</v>
      </c>
      <c r="S323">
        <v>18.162837468694921</v>
      </c>
      <c r="AI323">
        <v>0.1</v>
      </c>
      <c r="AJ323">
        <v>0.15</v>
      </c>
      <c r="AK323">
        <v>0.2</v>
      </c>
      <c r="AM323" t="s">
        <v>2</v>
      </c>
      <c r="AN323" s="28">
        <v>1.6666666666666666E-2</v>
      </c>
      <c r="AO323">
        <f t="shared" ref="AO323:AO328" si="232">J326</f>
        <v>0.86043777220240403</v>
      </c>
      <c r="AP323">
        <f>AQ311</f>
        <v>0.32412014510454656</v>
      </c>
      <c r="AQ323">
        <f>AQ289</f>
        <v>0.67322027906615434</v>
      </c>
    </row>
    <row r="324" spans="1:67" x14ac:dyDescent="0.3">
      <c r="A324">
        <v>1</v>
      </c>
      <c r="B324">
        <f t="shared" si="230"/>
        <v>24</v>
      </c>
      <c r="Q324">
        <f t="shared" ref="Q324:Q329" si="233">R324*60</f>
        <v>10</v>
      </c>
      <c r="R324">
        <v>0.16666666666666666</v>
      </c>
      <c r="S324">
        <v>14.547151295834921</v>
      </c>
      <c r="AG324" t="s">
        <v>82</v>
      </c>
      <c r="AH324" s="28">
        <v>1.6666666666666666E-2</v>
      </c>
      <c r="AI324">
        <v>18.162837468694921</v>
      </c>
      <c r="AJ324">
        <v>17.426447563790319</v>
      </c>
      <c r="AK324">
        <v>16.293563853584732</v>
      </c>
      <c r="AN324" s="28">
        <v>0.16666666666666666</v>
      </c>
      <c r="AO324">
        <f t="shared" si="232"/>
        <v>0.27064988277112456</v>
      </c>
      <c r="AP324">
        <f>AQ312</f>
        <v>0.37763741689862274</v>
      </c>
      <c r="AQ324">
        <f>AQ290</f>
        <v>0.51090903943758992</v>
      </c>
    </row>
    <row r="325" spans="1:67" x14ac:dyDescent="0.3">
      <c r="A325">
        <v>1</v>
      </c>
      <c r="B325">
        <f t="shared" si="230"/>
        <v>26</v>
      </c>
      <c r="J325" t="s">
        <v>162</v>
      </c>
      <c r="K325" t="s">
        <v>289</v>
      </c>
      <c r="L325">
        <v>30</v>
      </c>
      <c r="Q325">
        <f t="shared" si="233"/>
        <v>30</v>
      </c>
      <c r="R325">
        <v>0.5</v>
      </c>
      <c r="S325">
        <v>12.68937778221083</v>
      </c>
      <c r="AH325" s="28">
        <v>0.16666666666666666</v>
      </c>
      <c r="AI325">
        <v>14.547151295834921</v>
      </c>
      <c r="AJ325">
        <v>15.515984911619588</v>
      </c>
      <c r="AK325">
        <v>14.579320823243897</v>
      </c>
      <c r="AN325" s="28">
        <v>0.5</v>
      </c>
      <c r="AO325">
        <f t="shared" si="232"/>
        <v>9.5797915691049715E-2</v>
      </c>
      <c r="AP325">
        <f>AQ313</f>
        <v>0.2629187838227966</v>
      </c>
      <c r="AQ325">
        <f>AQ291</f>
        <v>1.532572090249412</v>
      </c>
    </row>
    <row r="326" spans="1:67" x14ac:dyDescent="0.3">
      <c r="A326">
        <v>1</v>
      </c>
      <c r="B326">
        <f t="shared" si="230"/>
        <v>28</v>
      </c>
      <c r="J326">
        <v>0.86043777220240403</v>
      </c>
      <c r="Q326">
        <f t="shared" si="233"/>
        <v>60</v>
      </c>
      <c r="R326">
        <v>1</v>
      </c>
      <c r="S326">
        <v>8.7637830411161524</v>
      </c>
      <c r="AH326" s="28">
        <v>0.5</v>
      </c>
      <c r="AI326">
        <v>12.68937778221083</v>
      </c>
      <c r="AJ326">
        <v>12.001264633383139</v>
      </c>
      <c r="AK326">
        <v>10.994354575141212</v>
      </c>
      <c r="AN326" s="28">
        <v>1</v>
      </c>
      <c r="AO326">
        <f t="shared" si="232"/>
        <v>0.2159150999701675</v>
      </c>
      <c r="AP326">
        <f>AQ314</f>
        <v>0.29141567504251997</v>
      </c>
      <c r="AQ326">
        <f>AQ292</f>
        <v>0.51935637943014512</v>
      </c>
    </row>
    <row r="327" spans="1:67" x14ac:dyDescent="0.3">
      <c r="A327">
        <v>1</v>
      </c>
      <c r="B327">
        <f t="shared" si="230"/>
        <v>30</v>
      </c>
      <c r="J327">
        <v>0.27064988277112456</v>
      </c>
      <c r="Q327">
        <f t="shared" si="233"/>
        <v>90</v>
      </c>
      <c r="R327">
        <v>1.5</v>
      </c>
      <c r="S327">
        <v>6.6276642287046723</v>
      </c>
      <c r="AH327" s="28">
        <v>1</v>
      </c>
      <c r="AI327">
        <v>8.7637830411161524</v>
      </c>
      <c r="AJ327">
        <v>9.3832679475045939</v>
      </c>
      <c r="AK327">
        <v>8.147637842549555</v>
      </c>
      <c r="AN327" s="28">
        <v>1.5</v>
      </c>
      <c r="AO327">
        <f t="shared" si="232"/>
        <v>0.19431919760966718</v>
      </c>
      <c r="AP327">
        <f t="shared" ref="AP327:AP328" si="234">AQ315</f>
        <v>0.16474228259412999</v>
      </c>
      <c r="AQ327">
        <f t="shared" ref="AQ327:AQ328" si="235">AQ293</f>
        <v>1.2818729058330089</v>
      </c>
    </row>
    <row r="328" spans="1:67" x14ac:dyDescent="0.3">
      <c r="A328">
        <v>1</v>
      </c>
      <c r="B328">
        <f t="shared" si="230"/>
        <v>32</v>
      </c>
      <c r="J328">
        <v>9.5797915691049715E-2</v>
      </c>
      <c r="Q328">
        <f t="shared" si="233"/>
        <v>120</v>
      </c>
      <c r="R328">
        <v>2</v>
      </c>
      <c r="S328">
        <v>5.0053398170198493</v>
      </c>
      <c r="AH328" s="28">
        <v>1.5</v>
      </c>
      <c r="AI328">
        <v>6.6276642287046723</v>
      </c>
      <c r="AJ328">
        <v>6.6058028525170522</v>
      </c>
      <c r="AK328">
        <v>6.82775075045706</v>
      </c>
      <c r="AN328" s="28">
        <v>2</v>
      </c>
      <c r="AO328">
        <f t="shared" si="232"/>
        <v>7.7596238065056805E-2</v>
      </c>
      <c r="AP328">
        <f t="shared" si="234"/>
        <v>0.30075114885783005</v>
      </c>
      <c r="AQ328">
        <f t="shared" si="235"/>
        <v>1.3166487742546733</v>
      </c>
    </row>
    <row r="329" spans="1:67" x14ac:dyDescent="0.3">
      <c r="A329">
        <v>1</v>
      </c>
      <c r="B329">
        <f t="shared" si="230"/>
        <v>34</v>
      </c>
      <c r="J329">
        <v>0.2159150999701675</v>
      </c>
      <c r="Q329">
        <f t="shared" si="233"/>
        <v>240</v>
      </c>
      <c r="R329">
        <v>4</v>
      </c>
      <c r="S329">
        <v>3.8012889916842547</v>
      </c>
      <c r="AH329" s="28">
        <v>2</v>
      </c>
      <c r="AI329">
        <v>5.0053398170198493</v>
      </c>
      <c r="AJ329">
        <v>4.4821025967010915</v>
      </c>
      <c r="AK329">
        <v>6.5078230332005074</v>
      </c>
    </row>
    <row r="330" spans="1:67" x14ac:dyDescent="0.3">
      <c r="A330">
        <v>1</v>
      </c>
      <c r="B330">
        <f t="shared" si="230"/>
        <v>36</v>
      </c>
      <c r="J330">
        <v>0.19431919760966718</v>
      </c>
      <c r="AH330" s="28"/>
    </row>
    <row r="331" spans="1:67" x14ac:dyDescent="0.3">
      <c r="A331">
        <v>1</v>
      </c>
      <c r="B331">
        <f t="shared" si="230"/>
        <v>38</v>
      </c>
      <c r="J331">
        <v>7.7596238065056805E-2</v>
      </c>
      <c r="AH331" s="28"/>
    </row>
    <row r="332" spans="1:67" x14ac:dyDescent="0.3">
      <c r="A332">
        <v>1</v>
      </c>
      <c r="B332">
        <f t="shared" si="230"/>
        <v>40</v>
      </c>
      <c r="J332">
        <v>0</v>
      </c>
    </row>
    <row r="333" spans="1:67" x14ac:dyDescent="0.3">
      <c r="A333">
        <v>1</v>
      </c>
      <c r="B333">
        <f t="shared" si="230"/>
        <v>42</v>
      </c>
      <c r="J333">
        <v>0.10891080542974139</v>
      </c>
    </row>
    <row r="334" spans="1:67" x14ac:dyDescent="0.3">
      <c r="A334">
        <v>1</v>
      </c>
      <c r="B334">
        <f t="shared" si="230"/>
        <v>44</v>
      </c>
      <c r="BI334" t="s">
        <v>263</v>
      </c>
      <c r="BO334" t="s">
        <v>263</v>
      </c>
    </row>
    <row r="335" spans="1:67" x14ac:dyDescent="0.3">
      <c r="A335">
        <v>1</v>
      </c>
      <c r="B335">
        <f t="shared" si="230"/>
        <v>46</v>
      </c>
    </row>
    <row r="336" spans="1:67" x14ac:dyDescent="0.3">
      <c r="A336">
        <v>1</v>
      </c>
      <c r="B336">
        <f t="shared" si="230"/>
        <v>48</v>
      </c>
    </row>
    <row r="337" spans="1:8" x14ac:dyDescent="0.3">
      <c r="A337">
        <v>1</v>
      </c>
      <c r="B337">
        <f t="shared" si="230"/>
        <v>50</v>
      </c>
    </row>
    <row r="338" spans="1:8" x14ac:dyDescent="0.3">
      <c r="A338">
        <v>1</v>
      </c>
      <c r="B338">
        <f t="shared" si="230"/>
        <v>52</v>
      </c>
    </row>
    <row r="339" spans="1:8" x14ac:dyDescent="0.3">
      <c r="A339">
        <v>1</v>
      </c>
      <c r="B339">
        <f t="shared" si="230"/>
        <v>54</v>
      </c>
    </row>
    <row r="340" spans="1:8" x14ac:dyDescent="0.3">
      <c r="A340">
        <v>1</v>
      </c>
      <c r="B340">
        <f t="shared" si="230"/>
        <v>56</v>
      </c>
    </row>
    <row r="341" spans="1:8" x14ac:dyDescent="0.3">
      <c r="A341">
        <v>1</v>
      </c>
      <c r="B341">
        <f t="shared" si="230"/>
        <v>58</v>
      </c>
      <c r="F341" t="s">
        <v>178</v>
      </c>
      <c r="G341">
        <v>44.01</v>
      </c>
      <c r="H341" t="s">
        <v>177</v>
      </c>
    </row>
    <row r="342" spans="1:8" x14ac:dyDescent="0.3">
      <c r="A342">
        <v>1</v>
      </c>
      <c r="B342">
        <f t="shared" si="230"/>
        <v>60</v>
      </c>
      <c r="F342" t="s">
        <v>179</v>
      </c>
      <c r="G342">
        <v>0.26300000000000001</v>
      </c>
      <c r="H342" t="s">
        <v>180</v>
      </c>
    </row>
    <row r="343" spans="1:8" x14ac:dyDescent="0.3">
      <c r="A343">
        <v>1</v>
      </c>
      <c r="B343">
        <f t="shared" si="230"/>
        <v>62</v>
      </c>
      <c r="F343" t="s">
        <v>181</v>
      </c>
      <c r="G343" s="11">
        <f>G341*G342</f>
        <v>11.574630000000001</v>
      </c>
      <c r="H343" t="s">
        <v>182</v>
      </c>
    </row>
    <row r="344" spans="1:8" x14ac:dyDescent="0.3">
      <c r="A344">
        <v>1</v>
      </c>
      <c r="B344">
        <f t="shared" si="230"/>
        <v>64</v>
      </c>
    </row>
    <row r="345" spans="1:8" x14ac:dyDescent="0.3">
      <c r="A345">
        <v>1</v>
      </c>
      <c r="B345">
        <f t="shared" si="230"/>
        <v>66</v>
      </c>
    </row>
    <row r="347" spans="1:8" x14ac:dyDescent="0.3">
      <c r="A347" s="56" t="s">
        <v>176</v>
      </c>
      <c r="B347" s="24">
        <v>0.26300000000000001</v>
      </c>
    </row>
    <row r="348" spans="1:8" x14ac:dyDescent="0.3">
      <c r="A348" s="24" t="s">
        <v>171</v>
      </c>
    </row>
    <row r="349" spans="1:8" x14ac:dyDescent="0.3">
      <c r="A349" t="s">
        <v>170</v>
      </c>
      <c r="F349" t="s">
        <v>2</v>
      </c>
      <c r="H349" t="s">
        <v>172</v>
      </c>
    </row>
    <row r="350" spans="1:8" x14ac:dyDescent="0.3">
      <c r="A350" t="s">
        <v>147</v>
      </c>
      <c r="B350" t="s">
        <v>69</v>
      </c>
      <c r="C350" t="s">
        <v>173</v>
      </c>
      <c r="D350" t="s">
        <v>174</v>
      </c>
      <c r="E350" t="s">
        <v>175</v>
      </c>
      <c r="F350" t="s">
        <v>6</v>
      </c>
      <c r="G350" t="s">
        <v>85</v>
      </c>
      <c r="H350" t="s">
        <v>113</v>
      </c>
    </row>
    <row r="351" spans="1:8" x14ac:dyDescent="0.3">
      <c r="A351">
        <f>C120*0.1</f>
        <v>1.5741731234117887E-3</v>
      </c>
      <c r="B351">
        <f>AH120*0.1</f>
        <v>1.0537440239760502E-3</v>
      </c>
      <c r="C351">
        <f>4.03763714838501*$B$35*60*10^(-3)</f>
        <v>3.499420116505288E-4</v>
      </c>
      <c r="D351">
        <f>0.782358121620504*$B$35*60*10^(-3)</f>
        <v>6.7806978400849089E-5</v>
      </c>
      <c r="E351">
        <f>0.634680290178584*$B$35*60*10^(-3)</f>
        <v>5.5007740749777872E-5</v>
      </c>
      <c r="F351">
        <v>1</v>
      </c>
      <c r="G351">
        <f>F351/60</f>
        <v>1.6666666666666666E-2</v>
      </c>
      <c r="H351">
        <f>5*9*60/1000</f>
        <v>2.7</v>
      </c>
    </row>
    <row r="352" spans="1:8" x14ac:dyDescent="0.3">
      <c r="A352">
        <f>A351*$F$352</f>
        <v>0.28335116221412199</v>
      </c>
      <c r="B352">
        <f>$B$351*$F$352</f>
        <v>0.18967392431568905</v>
      </c>
      <c r="C352">
        <f>4.03763714838501*$B$35*60*3*10^(-3)</f>
        <v>1.0498260349515866E-3</v>
      </c>
      <c r="D352">
        <f>0.782358121620504*$B$35*60*3*10^(-3)</f>
        <v>2.0342093520254729E-4</v>
      </c>
      <c r="E352">
        <f>0.634680290178584*$B$35*60*3*10^(-3)</f>
        <v>1.6502322224933361E-4</v>
      </c>
      <c r="F352">
        <f>3*60</f>
        <v>180</v>
      </c>
      <c r="G352">
        <f>F352/60</f>
        <v>3</v>
      </c>
    </row>
    <row r="353" spans="1:18" x14ac:dyDescent="0.3">
      <c r="A353">
        <f>A351*$F$353</f>
        <v>0.47225193702353663</v>
      </c>
      <c r="B353">
        <f>$B$351*$F$353</f>
        <v>0.31612320719281506</v>
      </c>
      <c r="F353">
        <f>G353*60</f>
        <v>300</v>
      </c>
      <c r="G353">
        <v>5</v>
      </c>
    </row>
    <row r="354" spans="1:18" x14ac:dyDescent="0.3">
      <c r="A354" s="25">
        <f>A351*F354</f>
        <v>0.56670232442824398</v>
      </c>
      <c r="B354" s="25">
        <f>$B$351*$F$354</f>
        <v>0.3793478486313781</v>
      </c>
      <c r="C354">
        <f>4.03763714838501*$B$35*60*6*10^(-3)</f>
        <v>2.0996520699031731E-3</v>
      </c>
      <c r="D354">
        <f>0.782358121620504*$B$35*60*6*10^(-3)</f>
        <v>4.0684187040509459E-4</v>
      </c>
      <c r="E354">
        <f>0.634680290178584*$B$35*60*6*10^(-3)</f>
        <v>3.3004644449866722E-4</v>
      </c>
      <c r="F354">
        <f>6*60</f>
        <v>360</v>
      </c>
      <c r="G354">
        <f>F354/60</f>
        <v>6</v>
      </c>
    </row>
    <row r="355" spans="1:18" ht="25.8" x14ac:dyDescent="0.5">
      <c r="A355" s="25">
        <f>A351*F355</f>
        <v>0.85005348664236591</v>
      </c>
      <c r="B355" s="25">
        <f>$B$351*$F$355</f>
        <v>0.56902177294706713</v>
      </c>
      <c r="C355">
        <f>4.03763714838501*$B$35*60*9*10^(-3)</f>
        <v>3.1494781048547593E-3</v>
      </c>
      <c r="D355">
        <f>0.782358121620504*$B$35*60*9*10^(-3)</f>
        <v>6.1026280560764177E-4</v>
      </c>
      <c r="E355">
        <f>0.634680290178584*$B$35*60*9*10^(-3)</f>
        <v>4.9506966674800089E-4</v>
      </c>
      <c r="F355">
        <f>9*60</f>
        <v>540</v>
      </c>
      <c r="G355">
        <v>9</v>
      </c>
      <c r="R355" s="102" t="s">
        <v>265</v>
      </c>
    </row>
    <row r="356" spans="1:18" x14ac:dyDescent="0.3">
      <c r="A356" s="25">
        <f>A351*F356</f>
        <v>6.139275181305976</v>
      </c>
      <c r="B356" s="25">
        <f>$B$351*$F$356</f>
        <v>4.1096016935065958</v>
      </c>
      <c r="C356">
        <f>4.03763714838501*$B$35*60*65*10^(-3)</f>
        <v>2.2746230757284373E-2</v>
      </c>
      <c r="D356">
        <f>0.782358121620504*$B$35*60*65*10^(-3)</f>
        <v>4.4074535960551917E-3</v>
      </c>
      <c r="E356">
        <f>0.634680290178584*$B$35*60*65*10^(-3)</f>
        <v>3.5755031487355615E-3</v>
      </c>
      <c r="F356">
        <f>65*60</f>
        <v>3900</v>
      </c>
      <c r="G356">
        <f>F356/60</f>
        <v>65</v>
      </c>
    </row>
    <row r="362" spans="1:18" x14ac:dyDescent="0.3">
      <c r="A362" t="s">
        <v>183</v>
      </c>
      <c r="B362" t="s">
        <v>185</v>
      </c>
    </row>
    <row r="363" spans="1:18" x14ac:dyDescent="0.3">
      <c r="A363" t="s">
        <v>184</v>
      </c>
      <c r="B363" t="s">
        <v>152</v>
      </c>
    </row>
    <row r="364" spans="1:18" x14ac:dyDescent="0.3">
      <c r="A364" s="57">
        <f>0.0007*2.718^(0.0277*283)</f>
        <v>1.7751004017785514</v>
      </c>
      <c r="B364" s="25">
        <v>283</v>
      </c>
      <c r="C364" s="24" t="s">
        <v>186</v>
      </c>
    </row>
    <row r="365" spans="1:18" x14ac:dyDescent="0.3">
      <c r="A365">
        <v>2.3170000000000002</v>
      </c>
      <c r="B365">
        <v>293</v>
      </c>
    </row>
    <row r="366" spans="1:18" x14ac:dyDescent="0.3">
      <c r="A366">
        <v>2.8540000000000001</v>
      </c>
      <c r="B366">
        <v>303</v>
      </c>
    </row>
    <row r="367" spans="1:18" x14ac:dyDescent="0.3">
      <c r="A367">
        <v>3.839</v>
      </c>
      <c r="B367">
        <v>313</v>
      </c>
    </row>
    <row r="368" spans="1:18" x14ac:dyDescent="0.3">
      <c r="A368">
        <v>5.2770000000000001</v>
      </c>
      <c r="B368">
        <v>323</v>
      </c>
    </row>
    <row r="372" spans="1:11" x14ac:dyDescent="0.3">
      <c r="A372" s="60" t="s">
        <v>203</v>
      </c>
    </row>
    <row r="373" spans="1:11" x14ac:dyDescent="0.3">
      <c r="A373" s="61" t="s">
        <v>204</v>
      </c>
      <c r="H373">
        <v>293</v>
      </c>
      <c r="I373">
        <f>(EXP(0.0277*H373))*0.0007</f>
        <v>2.343556804078375</v>
      </c>
      <c r="J373">
        <f>A365/I373</f>
        <v>0.98866816284027792</v>
      </c>
      <c r="K373">
        <f>$J$373*I373</f>
        <v>2.3170000000000002</v>
      </c>
    </row>
    <row r="374" spans="1:11" x14ac:dyDescent="0.3">
      <c r="H374">
        <v>283</v>
      </c>
      <c r="I374">
        <f t="shared" ref="I374:I375" si="236">(EXP(0.0277*H374))*0.0007</f>
        <v>1.7765437745655426</v>
      </c>
      <c r="K374">
        <f t="shared" ref="K374:K375" si="237">$J$373*I374</f>
        <v>1.7564122698050479</v>
      </c>
    </row>
    <row r="375" spans="1:11" x14ac:dyDescent="0.3">
      <c r="A375" t="s">
        <v>205</v>
      </c>
      <c r="B375" t="s">
        <v>177</v>
      </c>
      <c r="C375">
        <v>79.055999999999997</v>
      </c>
      <c r="H375">
        <v>278</v>
      </c>
      <c r="I375">
        <f t="shared" si="236"/>
        <v>1.5467713787851436</v>
      </c>
      <c r="K375">
        <f t="shared" si="237"/>
        <v>1.5292436173974315</v>
      </c>
    </row>
    <row r="376" spans="1:11" x14ac:dyDescent="0.3">
      <c r="A376" t="s">
        <v>206</v>
      </c>
      <c r="B376" t="s">
        <v>207</v>
      </c>
      <c r="C376" t="s">
        <v>184</v>
      </c>
    </row>
    <row r="377" spans="1:11" x14ac:dyDescent="0.3">
      <c r="A377">
        <v>10</v>
      </c>
      <c r="B377">
        <v>14</v>
      </c>
      <c r="C377">
        <f>B377*10/$C$375</f>
        <v>1.7708965796397491</v>
      </c>
    </row>
    <row r="378" spans="1:11" x14ac:dyDescent="0.3">
      <c r="A378">
        <v>20</v>
      </c>
      <c r="B378">
        <v>17.399999999999999</v>
      </c>
      <c r="C378">
        <f>B378*10/$C$375</f>
        <v>2.2009714632665451</v>
      </c>
    </row>
    <row r="379" spans="1:11" x14ac:dyDescent="0.3">
      <c r="A379">
        <v>30</v>
      </c>
      <c r="B379">
        <v>21.3</v>
      </c>
      <c r="C379">
        <f>B379*10/$C$375</f>
        <v>2.6942926533090468</v>
      </c>
      <c r="I379">
        <v>1.53</v>
      </c>
      <c r="J379">
        <v>0.01</v>
      </c>
    </row>
    <row r="380" spans="1:11" x14ac:dyDescent="0.3">
      <c r="I380">
        <v>1.53</v>
      </c>
      <c r="J380">
        <v>100</v>
      </c>
    </row>
  </sheetData>
  <hyperlinks>
    <hyperlink ref="A347" r:id="rId1" xr:uid="{00000000-0004-0000-0400-000000000000}"/>
  </hyperlinks>
  <pageMargins left="0.7" right="0.7" top="0.75" bottom="0.75" header="0.3" footer="0.3"/>
  <pageSetup paperSize="9" scale="95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60"/>
  <sheetViews>
    <sheetView topLeftCell="A26" workbookViewId="0">
      <selection activeCell="N30" sqref="N30:S43"/>
    </sheetView>
  </sheetViews>
  <sheetFormatPr defaultRowHeight="14.4" x14ac:dyDescent="0.3"/>
  <sheetData>
    <row r="2" spans="1:8" x14ac:dyDescent="0.3">
      <c r="B2" t="s">
        <v>307</v>
      </c>
      <c r="D2" t="s">
        <v>22</v>
      </c>
      <c r="E2" t="s">
        <v>308</v>
      </c>
    </row>
    <row r="3" spans="1:8" x14ac:dyDescent="0.3">
      <c r="C3" t="s">
        <v>2</v>
      </c>
      <c r="D3" t="s">
        <v>147</v>
      </c>
    </row>
    <row r="4" spans="1:8" x14ac:dyDescent="0.3">
      <c r="B4" t="s">
        <v>85</v>
      </c>
      <c r="C4" t="s">
        <v>6</v>
      </c>
      <c r="D4" t="s">
        <v>209</v>
      </c>
      <c r="E4" t="s">
        <v>210</v>
      </c>
      <c r="F4" t="s">
        <v>211</v>
      </c>
      <c r="G4" t="s">
        <v>7</v>
      </c>
      <c r="H4" t="s">
        <v>295</v>
      </c>
    </row>
    <row r="5" spans="1:8" x14ac:dyDescent="0.3">
      <c r="A5">
        <v>1</v>
      </c>
      <c r="B5">
        <f>C5/60</f>
        <v>1.6666666666666666E-2</v>
      </c>
      <c r="C5">
        <v>1</v>
      </c>
      <c r="D5">
        <v>16.293563853584732</v>
      </c>
      <c r="E5">
        <v>17.426447563790319</v>
      </c>
      <c r="F5">
        <v>18.162837468694921</v>
      </c>
      <c r="G5">
        <f>AVERAGE(D5:F5)</f>
        <v>17.29428296202332</v>
      </c>
      <c r="H5">
        <f>STDEV(D5:F5)</f>
        <v>0.9416191233757677</v>
      </c>
    </row>
    <row r="6" spans="1:8" x14ac:dyDescent="0.3">
      <c r="A6">
        <v>2</v>
      </c>
      <c r="B6">
        <f t="shared" ref="B6:B12" si="0">C6/60</f>
        <v>0.16666666666666666</v>
      </c>
      <c r="C6">
        <v>10</v>
      </c>
      <c r="D6">
        <v>14.579320823243897</v>
      </c>
      <c r="E6">
        <v>15.515984911619588</v>
      </c>
      <c r="F6">
        <v>14.547151295834921</v>
      </c>
      <c r="G6">
        <f t="shared" ref="G6:G12" si="1">AVERAGE(D6:F6)</f>
        <v>14.880819010232804</v>
      </c>
      <c r="H6">
        <f t="shared" ref="H6:H12" si="2">STDEV(D6:F6)</f>
        <v>0.55030492577915002</v>
      </c>
    </row>
    <row r="7" spans="1:8" x14ac:dyDescent="0.3">
      <c r="A7">
        <v>3</v>
      </c>
      <c r="B7">
        <f t="shared" si="0"/>
        <v>0.5</v>
      </c>
      <c r="C7">
        <v>30</v>
      </c>
      <c r="D7">
        <v>10.994354575141212</v>
      </c>
      <c r="E7">
        <v>12.001264633383139</v>
      </c>
      <c r="F7">
        <v>12.68937778221083</v>
      </c>
      <c r="G7">
        <f t="shared" si="1"/>
        <v>11.894998996911729</v>
      </c>
      <c r="H7">
        <f t="shared" si="2"/>
        <v>0.85249352328750772</v>
      </c>
    </row>
    <row r="8" spans="1:8" x14ac:dyDescent="0.3">
      <c r="A8">
        <v>4</v>
      </c>
      <c r="B8">
        <f t="shared" si="0"/>
        <v>1</v>
      </c>
      <c r="C8">
        <v>60</v>
      </c>
      <c r="D8">
        <v>8.147637842549555</v>
      </c>
      <c r="E8">
        <v>9.3832679475045939</v>
      </c>
      <c r="F8">
        <v>8.7637830411161524</v>
      </c>
      <c r="G8">
        <f t="shared" si="1"/>
        <v>8.7648962770567671</v>
      </c>
      <c r="H8">
        <f t="shared" si="2"/>
        <v>0.61781580470112174</v>
      </c>
    </row>
    <row r="9" spans="1:8" x14ac:dyDescent="0.3">
      <c r="A9">
        <v>5</v>
      </c>
      <c r="B9">
        <f t="shared" si="0"/>
        <v>1.5</v>
      </c>
      <c r="C9">
        <v>90</v>
      </c>
      <c r="D9">
        <v>6.82775075045706</v>
      </c>
      <c r="E9">
        <v>6.6058028525170522</v>
      </c>
      <c r="F9">
        <v>6.6276642287046723</v>
      </c>
      <c r="G9">
        <f t="shared" si="1"/>
        <v>6.6870726105595937</v>
      </c>
      <c r="H9">
        <f t="shared" si="2"/>
        <v>0.12232021184564</v>
      </c>
    </row>
    <row r="10" spans="1:8" x14ac:dyDescent="0.3">
      <c r="A10">
        <v>6</v>
      </c>
      <c r="B10">
        <f t="shared" si="0"/>
        <v>2</v>
      </c>
      <c r="C10">
        <v>120</v>
      </c>
      <c r="D10">
        <v>6.5078230332005074</v>
      </c>
      <c r="E10">
        <v>4.4821025967010915</v>
      </c>
      <c r="F10">
        <v>5.0053398170198493</v>
      </c>
      <c r="G10">
        <f t="shared" si="1"/>
        <v>5.3317551489738157</v>
      </c>
      <c r="H10">
        <f t="shared" si="2"/>
        <v>1.0515683755295302</v>
      </c>
    </row>
    <row r="11" spans="1:8" x14ac:dyDescent="0.3">
      <c r="A11">
        <v>7</v>
      </c>
      <c r="B11">
        <f t="shared" si="0"/>
        <v>3</v>
      </c>
      <c r="C11">
        <v>180</v>
      </c>
      <c r="D11">
        <v>6.746320419101048</v>
      </c>
      <c r="E11">
        <v>2.8578655044690113</v>
      </c>
      <c r="F11">
        <v>4.5</v>
      </c>
      <c r="G11">
        <f t="shared" si="1"/>
        <v>4.7013953078566866</v>
      </c>
      <c r="H11">
        <f t="shared" si="2"/>
        <v>1.952034953145442</v>
      </c>
    </row>
    <row r="12" spans="1:8" x14ac:dyDescent="0.3">
      <c r="A12">
        <v>8</v>
      </c>
      <c r="B12">
        <f t="shared" si="0"/>
        <v>4</v>
      </c>
      <c r="C12">
        <v>240</v>
      </c>
      <c r="D12">
        <v>3.2</v>
      </c>
      <c r="E12">
        <v>2.9502196331725696</v>
      </c>
      <c r="F12">
        <v>3.8012889916842547</v>
      </c>
      <c r="G12">
        <f t="shared" si="1"/>
        <v>3.3171695416189415</v>
      </c>
      <c r="H12">
        <f t="shared" si="2"/>
        <v>0.4374657579305723</v>
      </c>
    </row>
    <row r="15" spans="1:8" x14ac:dyDescent="0.3">
      <c r="B15" t="s">
        <v>292</v>
      </c>
      <c r="D15" t="s">
        <v>22</v>
      </c>
      <c r="E15" t="s">
        <v>308</v>
      </c>
      <c r="G15" t="s">
        <v>314</v>
      </c>
    </row>
    <row r="17" spans="1:19" x14ac:dyDescent="0.3">
      <c r="B17" t="s">
        <v>2</v>
      </c>
      <c r="C17" t="s">
        <v>309</v>
      </c>
      <c r="D17" t="s">
        <v>310</v>
      </c>
      <c r="E17" t="s">
        <v>311</v>
      </c>
      <c r="F17" t="s">
        <v>312</v>
      </c>
    </row>
    <row r="18" spans="1:19" x14ac:dyDescent="0.3">
      <c r="C18" t="s">
        <v>313</v>
      </c>
    </row>
    <row r="19" spans="1:19" x14ac:dyDescent="0.3">
      <c r="A19">
        <v>1</v>
      </c>
      <c r="B19">
        <v>1.6666666666666666E-2</v>
      </c>
      <c r="C19">
        <v>1.1215200049769281E-2</v>
      </c>
      <c r="D19">
        <v>4.2777559626987545E-2</v>
      </c>
      <c r="E19">
        <v>0.28518373084658366</v>
      </c>
      <c r="F19">
        <v>6.4814484283314466E-3</v>
      </c>
    </row>
    <row r="20" spans="1:19" x14ac:dyDescent="0.3">
      <c r="A20">
        <v>2</v>
      </c>
      <c r="B20">
        <v>1</v>
      </c>
      <c r="C20">
        <v>9.2828784567682322E-3</v>
      </c>
      <c r="D20">
        <v>2.1318026515562547</v>
      </c>
      <c r="E20">
        <v>14.212017677041699</v>
      </c>
      <c r="F20">
        <v>0.32300040175094769</v>
      </c>
    </row>
    <row r="21" spans="1:19" x14ac:dyDescent="0.3">
      <c r="A21">
        <v>3</v>
      </c>
      <c r="B21">
        <v>2</v>
      </c>
      <c r="C21">
        <v>8.0943464596400557E-3</v>
      </c>
      <c r="D21">
        <v>3.9842335673607634</v>
      </c>
      <c r="E21">
        <v>26.561557115738424</v>
      </c>
      <c r="F21">
        <v>0.60367175263041872</v>
      </c>
    </row>
    <row r="22" spans="1:19" x14ac:dyDescent="0.3">
      <c r="A22">
        <v>4</v>
      </c>
      <c r="B22">
        <v>3</v>
      </c>
      <c r="C22">
        <v>6.8999445098938128E-3</v>
      </c>
      <c r="D22">
        <v>5.563319734625126</v>
      </c>
      <c r="E22">
        <v>37.088798230834172</v>
      </c>
      <c r="F22">
        <v>0.8429272325189584</v>
      </c>
    </row>
    <row r="23" spans="1:19" x14ac:dyDescent="0.3">
      <c r="A23">
        <v>5</v>
      </c>
      <c r="B23">
        <v>4</v>
      </c>
      <c r="C23">
        <v>6.5186694813389439E-3</v>
      </c>
      <c r="D23">
        <v>7.0551492402379337</v>
      </c>
      <c r="E23">
        <v>47.034328268252892</v>
      </c>
      <c r="F23">
        <v>1.0689620060966567</v>
      </c>
    </row>
    <row r="24" spans="1:19" x14ac:dyDescent="0.3">
      <c r="A24">
        <v>6</v>
      </c>
      <c r="B24">
        <v>5</v>
      </c>
      <c r="C24">
        <v>6.1913847405829121E-3</v>
      </c>
      <c r="D24">
        <v>8.4720780265560443</v>
      </c>
      <c r="E24">
        <v>56.480520177040297</v>
      </c>
      <c r="F24">
        <v>1.2836481858418249</v>
      </c>
    </row>
    <row r="25" spans="1:19" x14ac:dyDescent="0.3">
      <c r="A25">
        <v>7</v>
      </c>
      <c r="B25">
        <v>6</v>
      </c>
      <c r="C25">
        <v>6.1367943571798552E-3</v>
      </c>
      <c r="D25">
        <v>9.8765135356928919</v>
      </c>
      <c r="E25">
        <v>65.843423571285953</v>
      </c>
      <c r="F25">
        <v>1.4964414448019534</v>
      </c>
    </row>
    <row r="26" spans="1:19" x14ac:dyDescent="0.3">
      <c r="A26">
        <v>8</v>
      </c>
      <c r="B26">
        <v>7</v>
      </c>
      <c r="C26">
        <v>6.1367943571799524E-3</v>
      </c>
      <c r="D26">
        <v>11.280949044829761</v>
      </c>
      <c r="E26">
        <v>75.206326965531744</v>
      </c>
      <c r="F26">
        <v>1.7092347037620852</v>
      </c>
    </row>
    <row r="27" spans="1:19" x14ac:dyDescent="0.3">
      <c r="A27">
        <v>9</v>
      </c>
      <c r="B27">
        <v>8</v>
      </c>
      <c r="C27">
        <v>6.355082277508993E-3</v>
      </c>
      <c r="D27">
        <v>12.735340815930513</v>
      </c>
      <c r="E27">
        <v>84.902272106203426</v>
      </c>
      <c r="F27">
        <v>1.929597093322805</v>
      </c>
    </row>
    <row r="28" spans="1:19" x14ac:dyDescent="0.3">
      <c r="A28">
        <v>10</v>
      </c>
      <c r="B28">
        <v>9</v>
      </c>
      <c r="C28">
        <v>5.9729495357385984E-3</v>
      </c>
      <c r="D28">
        <v>14.102279633500522</v>
      </c>
      <c r="E28">
        <v>94.015197556670159</v>
      </c>
      <c r="F28">
        <v>2.1367090353788671</v>
      </c>
    </row>
    <row r="29" spans="1:19" x14ac:dyDescent="0.3">
      <c r="A29">
        <v>11</v>
      </c>
      <c r="B29">
        <v>10</v>
      </c>
      <c r="C29">
        <v>6.4096235991754572E-3</v>
      </c>
      <c r="D29">
        <v>15.569153453763311</v>
      </c>
      <c r="E29">
        <v>103.79435635842208</v>
      </c>
      <c r="F29">
        <v>2.3589626445095928</v>
      </c>
    </row>
    <row r="30" spans="1:19" x14ac:dyDescent="0.3">
      <c r="A30">
        <v>12</v>
      </c>
      <c r="B30">
        <v>11</v>
      </c>
      <c r="C30">
        <v>6.2459628523472092E-3</v>
      </c>
      <c r="D30">
        <v>16.998572708837923</v>
      </c>
      <c r="E30">
        <v>113.32381805891949</v>
      </c>
      <c r="F30">
        <v>2.5755413195208976</v>
      </c>
      <c r="O30" t="s">
        <v>312</v>
      </c>
    </row>
    <row r="31" spans="1:19" x14ac:dyDescent="0.3">
      <c r="A31">
        <v>13</v>
      </c>
      <c r="B31">
        <v>20.95</v>
      </c>
      <c r="C31">
        <v>5.152064277926238E-3</v>
      </c>
      <c r="D31">
        <v>28.730370921638496</v>
      </c>
      <c r="E31">
        <v>191.53580614425664</v>
      </c>
      <c r="F31">
        <v>4.3530865032785604</v>
      </c>
      <c r="O31">
        <v>1</v>
      </c>
      <c r="P31">
        <v>2</v>
      </c>
      <c r="Q31">
        <v>3</v>
      </c>
      <c r="R31" t="s">
        <v>254</v>
      </c>
      <c r="S31" t="s">
        <v>317</v>
      </c>
    </row>
    <row r="32" spans="1:19" x14ac:dyDescent="0.3">
      <c r="N32">
        <v>1.6666666666666666E-2</v>
      </c>
      <c r="O32">
        <f>F19</f>
        <v>6.4814484283314466E-3</v>
      </c>
      <c r="P32">
        <f>F36</f>
        <v>6.2734824312627524E-3</v>
      </c>
      <c r="Q32">
        <f>F48</f>
        <v>6.1721465451054884E-3</v>
      </c>
      <c r="R32">
        <f>AVERAGE(O32:Q32)</f>
        <v>6.3090258015665625E-3</v>
      </c>
      <c r="S32">
        <f>STDEV(O32:Q32)</f>
        <v>1.5768453355099983E-4</v>
      </c>
    </row>
    <row r="33" spans="1:22" x14ac:dyDescent="0.3">
      <c r="N33">
        <v>1</v>
      </c>
      <c r="O33">
        <f t="shared" ref="O33:O43" si="3">F20</f>
        <v>0.32300040175094769</v>
      </c>
      <c r="P33">
        <f t="shared" ref="P33:P35" si="4">F37</f>
        <v>0.27894229109522606</v>
      </c>
      <c r="Q33">
        <f t="shared" ref="Q33:Q43" si="5">F49</f>
        <v>0.32820187275738116</v>
      </c>
      <c r="R33">
        <f t="shared" ref="R33:R43" si="6">AVERAGE(O33:Q33)</f>
        <v>0.31004818853451832</v>
      </c>
      <c r="S33">
        <f t="shared" ref="S33:S43" si="7">STDEV(O33:Q33)</f>
        <v>2.7063748202817692E-2</v>
      </c>
    </row>
    <row r="34" spans="1:22" x14ac:dyDescent="0.3">
      <c r="A34" t="s">
        <v>292</v>
      </c>
      <c r="B34" t="s">
        <v>2</v>
      </c>
      <c r="C34" t="s">
        <v>309</v>
      </c>
      <c r="D34" t="s">
        <v>310</v>
      </c>
      <c r="E34" t="s">
        <v>311</v>
      </c>
      <c r="F34" t="s">
        <v>312</v>
      </c>
      <c r="G34" t="s">
        <v>315</v>
      </c>
      <c r="N34">
        <v>2</v>
      </c>
      <c r="O34">
        <f t="shared" si="3"/>
        <v>0.60367175263041872</v>
      </c>
      <c r="P34">
        <f t="shared" si="4"/>
        <v>0.53174039795499517</v>
      </c>
      <c r="Q34">
        <f t="shared" si="5"/>
        <v>0.61262818730230151</v>
      </c>
      <c r="R34">
        <f t="shared" si="6"/>
        <v>0.58268011262923858</v>
      </c>
      <c r="S34">
        <f t="shared" si="7"/>
        <v>4.4341801145509577E-2</v>
      </c>
    </row>
    <row r="35" spans="1:22" x14ac:dyDescent="0.3">
      <c r="B35" t="s">
        <v>79</v>
      </c>
      <c r="C35" t="s">
        <v>313</v>
      </c>
      <c r="N35">
        <v>3</v>
      </c>
      <c r="O35">
        <f t="shared" si="3"/>
        <v>0.8429272325189584</v>
      </c>
      <c r="P35">
        <f t="shared" si="4"/>
        <v>0.77509938403645406</v>
      </c>
      <c r="Q35">
        <f t="shared" si="5"/>
        <v>0.86131431621637555</v>
      </c>
      <c r="R35">
        <f t="shared" si="6"/>
        <v>0.82644697759059593</v>
      </c>
      <c r="S35">
        <f t="shared" si="7"/>
        <v>4.5408729717698285E-2</v>
      </c>
    </row>
    <row r="36" spans="1:22" x14ac:dyDescent="0.3">
      <c r="A36">
        <v>1</v>
      </c>
      <c r="B36">
        <v>1.6666666666666666E-2</v>
      </c>
      <c r="C36">
        <v>1.0855345260139246E-2</v>
      </c>
      <c r="D36">
        <v>4.1404984046334165E-2</v>
      </c>
      <c r="E36">
        <v>0.2760332269755611</v>
      </c>
      <c r="F36">
        <v>6.2734824312627524E-3</v>
      </c>
      <c r="N36">
        <v>4</v>
      </c>
      <c r="O36">
        <f t="shared" si="3"/>
        <v>1.0689620060966567</v>
      </c>
      <c r="Q36">
        <f t="shared" si="5"/>
        <v>1.0684262582724375</v>
      </c>
      <c r="R36">
        <f t="shared" si="6"/>
        <v>1.0686941321845471</v>
      </c>
      <c r="S36">
        <f t="shared" si="7"/>
        <v>3.7883091951131228E-4</v>
      </c>
    </row>
    <row r="37" spans="1:22" x14ac:dyDescent="0.3">
      <c r="A37">
        <v>2</v>
      </c>
      <c r="B37">
        <v>1</v>
      </c>
      <c r="C37">
        <v>7.9968399465780316E-3</v>
      </c>
      <c r="D37">
        <v>1.8410191212284921</v>
      </c>
      <c r="E37">
        <v>12.273460808189947</v>
      </c>
      <c r="F37">
        <v>0.27894229109522606</v>
      </c>
      <c r="N37">
        <v>5</v>
      </c>
      <c r="O37">
        <f t="shared" si="3"/>
        <v>1.2836481858418249</v>
      </c>
      <c r="Q37">
        <f t="shared" si="5"/>
        <v>1.2868970031744618</v>
      </c>
      <c r="R37">
        <f t="shared" si="6"/>
        <v>1.2852725945081434</v>
      </c>
      <c r="S37">
        <f t="shared" si="7"/>
        <v>2.2972607667438882E-3</v>
      </c>
    </row>
    <row r="38" spans="1:22" x14ac:dyDescent="0.3">
      <c r="A38">
        <v>3</v>
      </c>
      <c r="B38">
        <v>2</v>
      </c>
      <c r="C38">
        <v>7.2905034833526568E-3</v>
      </c>
      <c r="D38">
        <v>3.5094866265029681</v>
      </c>
      <c r="E38">
        <v>23.396577510019789</v>
      </c>
      <c r="F38">
        <v>0.53174039795499517</v>
      </c>
      <c r="N38">
        <v>6</v>
      </c>
      <c r="O38">
        <f t="shared" si="3"/>
        <v>1.4964414448019534</v>
      </c>
      <c r="Q38">
        <f t="shared" si="5"/>
        <v>1.4902192704002553</v>
      </c>
      <c r="R38">
        <f t="shared" si="6"/>
        <v>1.4933303576011043</v>
      </c>
      <c r="S38">
        <f t="shared" si="7"/>
        <v>4.3997417131661064E-3</v>
      </c>
    </row>
    <row r="39" spans="1:22" x14ac:dyDescent="0.3">
      <c r="A39">
        <v>4</v>
      </c>
      <c r="B39">
        <v>3</v>
      </c>
      <c r="C39">
        <v>7.0182864807457951E-3</v>
      </c>
      <c r="D39">
        <v>5.1156559346405972</v>
      </c>
      <c r="E39">
        <v>34.10437289760398</v>
      </c>
      <c r="F39">
        <v>0.77509938403645406</v>
      </c>
      <c r="N39">
        <v>7</v>
      </c>
      <c r="O39">
        <f t="shared" si="3"/>
        <v>1.7092347037620852</v>
      </c>
      <c r="Q39">
        <f t="shared" si="5"/>
        <v>1.7067979454115596</v>
      </c>
      <c r="R39">
        <f t="shared" si="6"/>
        <v>1.7080163245868225</v>
      </c>
      <c r="S39">
        <f t="shared" si="7"/>
        <v>1.723048353769592E-3</v>
      </c>
    </row>
    <row r="40" spans="1:22" x14ac:dyDescent="0.3">
      <c r="A40">
        <v>12</v>
      </c>
      <c r="B40">
        <v>11</v>
      </c>
      <c r="C40">
        <v>4.3342932294322912E-3</v>
      </c>
      <c r="D40">
        <v>13.051050167043721</v>
      </c>
      <c r="E40">
        <v>87.00700111362481</v>
      </c>
      <c r="F40">
        <v>1.9774318434914731</v>
      </c>
      <c r="N40">
        <v>8</v>
      </c>
      <c r="O40">
        <f t="shared" si="3"/>
        <v>1.929597093322805</v>
      </c>
      <c r="Q40">
        <f t="shared" si="5"/>
        <v>1.9082247357225812</v>
      </c>
      <c r="R40">
        <f t="shared" si="6"/>
        <v>1.918910914522693</v>
      </c>
      <c r="S40">
        <f t="shared" si="7"/>
        <v>1.5112538989062113E-2</v>
      </c>
    </row>
    <row r="41" spans="1:22" x14ac:dyDescent="0.3">
      <c r="B41">
        <v>12</v>
      </c>
      <c r="C41">
        <v>5.5978159137017331E-3</v>
      </c>
      <c r="D41">
        <v>14.332137813986954</v>
      </c>
      <c r="E41">
        <v>95.547585426579701</v>
      </c>
      <c r="F41">
        <v>2.1715360324222659</v>
      </c>
      <c r="N41">
        <v>9</v>
      </c>
      <c r="O41">
        <f t="shared" si="3"/>
        <v>2.1367090353788671</v>
      </c>
      <c r="Q41">
        <f t="shared" si="5"/>
        <v>2.1342595093002794</v>
      </c>
      <c r="R41">
        <f t="shared" si="6"/>
        <v>2.1354842723395731</v>
      </c>
      <c r="S41">
        <f t="shared" si="7"/>
        <v>1.732076500862674E-3</v>
      </c>
    </row>
    <row r="42" spans="1:22" x14ac:dyDescent="0.3">
      <c r="B42">
        <v>13</v>
      </c>
      <c r="C42">
        <v>5.3785432740565391E-3</v>
      </c>
      <c r="D42">
        <v>15.563043841117622</v>
      </c>
      <c r="E42">
        <v>103.75362560745081</v>
      </c>
      <c r="F42">
        <v>2.3580369456238821</v>
      </c>
      <c r="N42">
        <v>10</v>
      </c>
      <c r="O42">
        <f t="shared" si="3"/>
        <v>2.3589626445095928</v>
      </c>
      <c r="Q42">
        <f t="shared" si="5"/>
        <v>2.3451594218129546</v>
      </c>
      <c r="R42">
        <f t="shared" si="6"/>
        <v>2.3520610331612737</v>
      </c>
      <c r="S42">
        <f t="shared" si="7"/>
        <v>9.7603523710209708E-3</v>
      </c>
    </row>
    <row r="43" spans="1:22" x14ac:dyDescent="0.3">
      <c r="B43">
        <v>13.1</v>
      </c>
      <c r="C43">
        <v>4.8695654040419652E-2</v>
      </c>
      <c r="D43">
        <v>16.677467784540045</v>
      </c>
      <c r="E43">
        <v>111.1831185636003</v>
      </c>
      <c r="F43">
        <v>2.5268890582636434</v>
      </c>
      <c r="N43">
        <v>10.9</v>
      </c>
      <c r="O43">
        <f t="shared" si="3"/>
        <v>2.5755413195208976</v>
      </c>
      <c r="Q43">
        <f t="shared" si="5"/>
        <v>2.5349693430743625</v>
      </c>
      <c r="R43">
        <f t="shared" si="6"/>
        <v>2.5552553312976301</v>
      </c>
      <c r="S43">
        <f t="shared" si="7"/>
        <v>2.8688719671485854E-2</v>
      </c>
    </row>
    <row r="45" spans="1:22" x14ac:dyDescent="0.3">
      <c r="O45" t="s">
        <v>309</v>
      </c>
    </row>
    <row r="46" spans="1:22" x14ac:dyDescent="0.3">
      <c r="A46" t="s">
        <v>292</v>
      </c>
      <c r="B46" t="s">
        <v>2</v>
      </c>
      <c r="C46" t="s">
        <v>309</v>
      </c>
      <c r="D46" t="s">
        <v>310</v>
      </c>
      <c r="E46" t="s">
        <v>311</v>
      </c>
      <c r="F46" t="s">
        <v>312</v>
      </c>
      <c r="G46" t="s">
        <v>316</v>
      </c>
      <c r="O46" t="s">
        <v>313</v>
      </c>
    </row>
    <row r="47" spans="1:22" x14ac:dyDescent="0.3">
      <c r="B47" t="s">
        <v>79</v>
      </c>
      <c r="C47" t="s">
        <v>313</v>
      </c>
      <c r="O47">
        <v>1</v>
      </c>
      <c r="P47">
        <v>2</v>
      </c>
      <c r="Q47">
        <v>3</v>
      </c>
      <c r="R47">
        <v>1</v>
      </c>
      <c r="S47">
        <v>2</v>
      </c>
      <c r="T47">
        <v>3</v>
      </c>
      <c r="U47" t="s">
        <v>254</v>
      </c>
      <c r="V47" t="s">
        <v>317</v>
      </c>
    </row>
    <row r="48" spans="1:22" x14ac:dyDescent="0.3">
      <c r="A48">
        <v>1</v>
      </c>
      <c r="B48">
        <v>1.6666666666666666E-2</v>
      </c>
      <c r="C48">
        <v>1.0679998306747386E-2</v>
      </c>
      <c r="D48">
        <v>4.0736167197696217E-2</v>
      </c>
      <c r="E48">
        <v>0.27157444798464148</v>
      </c>
      <c r="F48">
        <v>6.1721465451054884E-3</v>
      </c>
      <c r="N48">
        <v>1.6666666666666666E-2</v>
      </c>
      <c r="O48">
        <f>C48</f>
        <v>1.0679998306747386E-2</v>
      </c>
      <c r="P48">
        <f>C36</f>
        <v>1.0855345260139246E-2</v>
      </c>
      <c r="Q48">
        <f>C19</f>
        <v>1.1215200049769281E-2</v>
      </c>
      <c r="R48">
        <f>O48*1000</f>
        <v>10.679998306747386</v>
      </c>
      <c r="S48">
        <f>P48*1000</f>
        <v>10.855345260139245</v>
      </c>
      <c r="T48">
        <f>Q48*1000</f>
        <v>11.21520004976928</v>
      </c>
      <c r="U48">
        <f>AVERAGE(R48:T48)</f>
        <v>10.916847872218638</v>
      </c>
      <c r="V48">
        <f>STDEV(R48:T48)</f>
        <v>0.27285005937851542</v>
      </c>
    </row>
    <row r="49" spans="1:22" x14ac:dyDescent="0.3">
      <c r="A49">
        <v>2</v>
      </c>
      <c r="B49">
        <v>1</v>
      </c>
      <c r="C49">
        <v>9.4444985885188282E-3</v>
      </c>
      <c r="D49">
        <v>2.1661323601987155</v>
      </c>
      <c r="E49">
        <v>14.440882401324771</v>
      </c>
      <c r="F49">
        <v>0.32820187275738116</v>
      </c>
      <c r="N49">
        <v>1</v>
      </c>
      <c r="O49">
        <f t="shared" ref="O49:O59" si="8">C49</f>
        <v>9.4444985885188282E-3</v>
      </c>
      <c r="P49">
        <f t="shared" ref="P49:P51" si="9">C37</f>
        <v>7.9968399465780316E-3</v>
      </c>
      <c r="Q49">
        <f t="shared" ref="Q49:Q59" si="10">C20</f>
        <v>9.2828784567682322E-3</v>
      </c>
      <c r="R49">
        <f t="shared" ref="R49:T59" si="11">O49*1000</f>
        <v>9.4444985885188277</v>
      </c>
      <c r="S49">
        <f t="shared" si="11"/>
        <v>7.9968399465780315</v>
      </c>
      <c r="T49">
        <f t="shared" si="11"/>
        <v>9.2828784567682323</v>
      </c>
      <c r="U49">
        <f t="shared" ref="U49:U59" si="12">AVERAGE(R49:T49)</f>
        <v>8.9080723306216978</v>
      </c>
      <c r="V49">
        <f t="shared" ref="V49:V59" si="13">STDEV(R49:T49)</f>
        <v>0.79327713319129334</v>
      </c>
    </row>
    <row r="50" spans="1:22" x14ac:dyDescent="0.3">
      <c r="A50">
        <v>3</v>
      </c>
      <c r="B50">
        <v>2</v>
      </c>
      <c r="C50">
        <v>8.2026367313627231E-3</v>
      </c>
      <c r="D50">
        <v>4.0433460361951896</v>
      </c>
      <c r="E50">
        <v>26.955640241301264</v>
      </c>
      <c r="F50">
        <v>0.61262818730230151</v>
      </c>
      <c r="N50">
        <v>2</v>
      </c>
      <c r="O50">
        <f t="shared" si="8"/>
        <v>8.2026367313627231E-3</v>
      </c>
      <c r="P50">
        <f t="shared" si="9"/>
        <v>7.2905034833526568E-3</v>
      </c>
      <c r="Q50">
        <f t="shared" si="10"/>
        <v>8.0943464596400557E-3</v>
      </c>
      <c r="R50">
        <f t="shared" si="11"/>
        <v>8.2026367313627233</v>
      </c>
      <c r="S50">
        <f t="shared" si="11"/>
        <v>7.2905034833526567</v>
      </c>
      <c r="T50">
        <f t="shared" si="11"/>
        <v>8.0943464596400556</v>
      </c>
      <c r="U50">
        <f t="shared" si="12"/>
        <v>7.8624955581184786</v>
      </c>
      <c r="V50">
        <f t="shared" si="13"/>
        <v>0.49831003996871709</v>
      </c>
    </row>
    <row r="51" spans="1:22" x14ac:dyDescent="0.3">
      <c r="A51">
        <v>4</v>
      </c>
      <c r="B51">
        <v>3</v>
      </c>
      <c r="C51">
        <v>7.1719171936491981E-3</v>
      </c>
      <c r="D51">
        <v>5.6846744870280785</v>
      </c>
      <c r="E51">
        <v>37.897829913520525</v>
      </c>
      <c r="F51">
        <v>0.86131431621637555</v>
      </c>
      <c r="N51">
        <v>3</v>
      </c>
      <c r="O51">
        <f t="shared" si="8"/>
        <v>7.1719171936491981E-3</v>
      </c>
      <c r="P51">
        <f t="shared" si="9"/>
        <v>7.0182864807457951E-3</v>
      </c>
      <c r="Q51">
        <f t="shared" si="10"/>
        <v>6.8999445098938128E-3</v>
      </c>
      <c r="R51">
        <f t="shared" si="11"/>
        <v>7.1719171936491986</v>
      </c>
      <c r="S51">
        <f t="shared" si="11"/>
        <v>7.018286480745795</v>
      </c>
      <c r="T51">
        <f t="shared" si="11"/>
        <v>6.899944509893813</v>
      </c>
      <c r="U51">
        <f t="shared" si="12"/>
        <v>7.0300493947629361</v>
      </c>
      <c r="V51">
        <f t="shared" si="13"/>
        <v>0.13636737068268098</v>
      </c>
    </row>
    <row r="52" spans="1:22" x14ac:dyDescent="0.3">
      <c r="A52">
        <v>5</v>
      </c>
      <c r="B52">
        <v>4</v>
      </c>
      <c r="C52">
        <v>5.9729495357385984E-3</v>
      </c>
      <c r="D52">
        <v>7.0516133045980878</v>
      </c>
      <c r="E52">
        <v>47.010755363987251</v>
      </c>
      <c r="F52">
        <v>1.0684262582724375</v>
      </c>
      <c r="N52">
        <v>4</v>
      </c>
      <c r="O52">
        <f t="shared" si="8"/>
        <v>5.9729495357385984E-3</v>
      </c>
      <c r="Q52">
        <f t="shared" si="10"/>
        <v>6.5186694813389439E-3</v>
      </c>
      <c r="R52">
        <f t="shared" si="11"/>
        <v>5.9729495357385982</v>
      </c>
      <c r="T52">
        <f t="shared" si="11"/>
        <v>6.5186694813389439</v>
      </c>
      <c r="U52">
        <f t="shared" si="12"/>
        <v>6.2458095085387715</v>
      </c>
      <c r="V52">
        <f t="shared" si="13"/>
        <v>0.38588227416275822</v>
      </c>
    </row>
    <row r="53" spans="1:22" x14ac:dyDescent="0.3">
      <c r="A53">
        <v>6</v>
      </c>
      <c r="B53">
        <v>5</v>
      </c>
      <c r="C53">
        <v>6.3005286966107974E-3</v>
      </c>
      <c r="D53">
        <v>8.4935202209514475</v>
      </c>
      <c r="E53">
        <v>56.623468139676319</v>
      </c>
      <c r="F53">
        <v>1.2868970031744618</v>
      </c>
      <c r="N53">
        <v>5</v>
      </c>
      <c r="O53">
        <f t="shared" si="8"/>
        <v>6.3005286966107974E-3</v>
      </c>
      <c r="Q53">
        <f t="shared" si="10"/>
        <v>6.1913847405829121E-3</v>
      </c>
      <c r="R53">
        <f t="shared" si="11"/>
        <v>6.3005286966107974</v>
      </c>
      <c r="T53">
        <f t="shared" si="11"/>
        <v>6.1913847405829125</v>
      </c>
      <c r="U53">
        <f t="shared" si="12"/>
        <v>6.2459567185968545</v>
      </c>
      <c r="V53">
        <f t="shared" si="13"/>
        <v>7.7176431432843737E-2</v>
      </c>
    </row>
    <row r="54" spans="1:22" x14ac:dyDescent="0.3">
      <c r="A54">
        <v>7</v>
      </c>
      <c r="B54">
        <v>6</v>
      </c>
      <c r="C54">
        <v>5.863658220649071E-3</v>
      </c>
      <c r="D54">
        <v>9.8354471846416835</v>
      </c>
      <c r="E54">
        <v>65.569647897611233</v>
      </c>
      <c r="F54">
        <v>1.4902192704002553</v>
      </c>
      <c r="N54">
        <v>6</v>
      </c>
      <c r="O54">
        <f t="shared" si="8"/>
        <v>5.863658220649071E-3</v>
      </c>
      <c r="Q54">
        <f t="shared" si="10"/>
        <v>6.1367943571798552E-3</v>
      </c>
      <c r="R54">
        <f t="shared" si="11"/>
        <v>5.8636582206490706</v>
      </c>
      <c r="T54">
        <f t="shared" si="11"/>
        <v>6.1367943571798556</v>
      </c>
      <c r="U54">
        <f t="shared" si="12"/>
        <v>6.0002262889144635</v>
      </c>
      <c r="V54">
        <f t="shared" si="13"/>
        <v>0.19313641432801273</v>
      </c>
    </row>
    <row r="55" spans="1:22" x14ac:dyDescent="0.3">
      <c r="A55">
        <v>8</v>
      </c>
      <c r="B55">
        <v>7</v>
      </c>
      <c r="C55">
        <v>6.2459628523472092E-3</v>
      </c>
      <c r="D55">
        <v>11.264866439716293</v>
      </c>
      <c r="E55">
        <v>75.099109598108626</v>
      </c>
      <c r="F55">
        <v>1.7067979454115596</v>
      </c>
      <c r="N55">
        <v>7</v>
      </c>
      <c r="O55">
        <f t="shared" si="8"/>
        <v>6.2459628523472092E-3</v>
      </c>
      <c r="Q55">
        <f t="shared" si="10"/>
        <v>6.1367943571799524E-3</v>
      </c>
      <c r="R55">
        <f t="shared" si="11"/>
        <v>6.2459628523472093</v>
      </c>
      <c r="T55">
        <f t="shared" si="11"/>
        <v>6.1367943571799524</v>
      </c>
      <c r="U55">
        <f t="shared" si="12"/>
        <v>6.1913786047635808</v>
      </c>
      <c r="V55">
        <f t="shared" si="13"/>
        <v>7.7193783224698206E-2</v>
      </c>
    </row>
    <row r="56" spans="1:22" x14ac:dyDescent="0.3">
      <c r="A56">
        <v>9</v>
      </c>
      <c r="B56">
        <v>8</v>
      </c>
      <c r="C56">
        <v>5.8089941204253238E-3</v>
      </c>
      <c r="D56">
        <v>12.594283255769037</v>
      </c>
      <c r="E56">
        <v>83.961888371793577</v>
      </c>
      <c r="F56">
        <v>1.9082247357225812</v>
      </c>
      <c r="N56">
        <v>8</v>
      </c>
      <c r="O56">
        <f t="shared" si="8"/>
        <v>5.8089941204253238E-3</v>
      </c>
      <c r="Q56">
        <f t="shared" si="10"/>
        <v>6.355082277508993E-3</v>
      </c>
      <c r="R56">
        <f t="shared" si="11"/>
        <v>5.8089941204253241</v>
      </c>
      <c r="T56">
        <f t="shared" si="11"/>
        <v>6.355082277508993</v>
      </c>
      <c r="U56">
        <f t="shared" si="12"/>
        <v>6.0820381989671581</v>
      </c>
      <c r="V56">
        <f t="shared" si="13"/>
        <v>0.38614263899952678</v>
      </c>
    </row>
    <row r="57" spans="1:22" x14ac:dyDescent="0.3">
      <c r="A57">
        <v>10</v>
      </c>
      <c r="B57">
        <v>9</v>
      </c>
      <c r="C57">
        <v>6.5186694813389439E-3</v>
      </c>
      <c r="D57">
        <v>14.086112761381845</v>
      </c>
      <c r="E57">
        <v>93.907418409212298</v>
      </c>
      <c r="F57">
        <v>2.1342595093002794</v>
      </c>
      <c r="N57">
        <v>9</v>
      </c>
      <c r="O57">
        <f t="shared" si="8"/>
        <v>6.5186694813389439E-3</v>
      </c>
      <c r="Q57">
        <f t="shared" si="10"/>
        <v>5.9729495357385984E-3</v>
      </c>
      <c r="R57">
        <f t="shared" si="11"/>
        <v>6.5186694813389439</v>
      </c>
      <c r="T57">
        <f t="shared" si="11"/>
        <v>5.9729495357385982</v>
      </c>
      <c r="U57">
        <f t="shared" si="12"/>
        <v>6.2458095085387715</v>
      </c>
      <c r="V57">
        <f t="shared" si="13"/>
        <v>0.38588227416275822</v>
      </c>
    </row>
    <row r="58" spans="1:22" x14ac:dyDescent="0.3">
      <c r="A58">
        <v>11</v>
      </c>
      <c r="B58">
        <v>10</v>
      </c>
      <c r="C58">
        <v>6.0821916979993049E-3</v>
      </c>
      <c r="D58">
        <v>15.478052183965501</v>
      </c>
      <c r="E58">
        <v>103.18701455977001</v>
      </c>
      <c r="F58">
        <v>2.3451594218129546</v>
      </c>
      <c r="N58">
        <v>10</v>
      </c>
      <c r="O58">
        <f t="shared" si="8"/>
        <v>6.0821916979993049E-3</v>
      </c>
      <c r="Q58">
        <f t="shared" si="10"/>
        <v>6.4096235991754572E-3</v>
      </c>
      <c r="R58">
        <f t="shared" si="11"/>
        <v>6.0821916979993045</v>
      </c>
      <c r="T58">
        <f t="shared" si="11"/>
        <v>6.4096235991754575</v>
      </c>
      <c r="U58">
        <f t="shared" si="12"/>
        <v>6.245907648587381</v>
      </c>
      <c r="V58">
        <f t="shared" si="13"/>
        <v>0.23152931769846133</v>
      </c>
    </row>
    <row r="59" spans="1:22" x14ac:dyDescent="0.3">
      <c r="A59">
        <v>12</v>
      </c>
      <c r="B59">
        <v>10.9</v>
      </c>
      <c r="C59">
        <v>6.0821916979993049E-3</v>
      </c>
      <c r="D59">
        <v>16.73079766429079</v>
      </c>
      <c r="E59">
        <v>111.53865109527194</v>
      </c>
      <c r="F59">
        <v>2.5349693430743625</v>
      </c>
      <c r="N59">
        <v>10.9</v>
      </c>
      <c r="O59">
        <f t="shared" si="8"/>
        <v>6.0821916979993049E-3</v>
      </c>
      <c r="Q59">
        <f t="shared" si="10"/>
        <v>6.2459628523472092E-3</v>
      </c>
      <c r="R59">
        <f t="shared" si="11"/>
        <v>6.0821916979993045</v>
      </c>
      <c r="T59">
        <f t="shared" si="11"/>
        <v>6.2459628523472093</v>
      </c>
      <c r="U59">
        <f t="shared" si="12"/>
        <v>6.1640772751732573</v>
      </c>
      <c r="V59">
        <f t="shared" si="13"/>
        <v>0.11580369380215222</v>
      </c>
    </row>
    <row r="60" spans="1:22" x14ac:dyDescent="0.3">
      <c r="A60">
        <v>13</v>
      </c>
      <c r="B60">
        <v>11</v>
      </c>
      <c r="C60">
        <v>9.6192930142229863E-2</v>
      </c>
      <c r="D60">
        <v>18.932220083825001</v>
      </c>
      <c r="E60">
        <v>126.21480055883335</v>
      </c>
      <c r="F60">
        <v>2.8685181945189395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V420"/>
  <sheetViews>
    <sheetView topLeftCell="A63" zoomScaleNormal="100" workbookViewId="0">
      <selection activeCell="P69" sqref="P69"/>
    </sheetView>
  </sheetViews>
  <sheetFormatPr defaultRowHeight="14.4" x14ac:dyDescent="0.3"/>
  <cols>
    <col min="1" max="1" width="21.5546875" bestFit="1" customWidth="1"/>
    <col min="2" max="2" width="13" bestFit="1" customWidth="1"/>
    <col min="3" max="3" width="28.6640625" bestFit="1" customWidth="1"/>
    <col min="4" max="8" width="11.44140625" bestFit="1" customWidth="1"/>
    <col min="9" max="9" width="18.6640625" bestFit="1" customWidth="1"/>
    <col min="10" max="10" width="11.44140625" bestFit="1" customWidth="1"/>
    <col min="11" max="11" width="15.33203125" bestFit="1" customWidth="1"/>
    <col min="12" max="12" width="13.5546875" bestFit="1" customWidth="1"/>
    <col min="13" max="17" width="11.44140625" bestFit="1" customWidth="1"/>
    <col min="28" max="28" width="14.33203125" bestFit="1" customWidth="1"/>
    <col min="30" max="30" width="13.33203125" bestFit="1" customWidth="1"/>
    <col min="35" max="35" width="12" bestFit="1" customWidth="1"/>
    <col min="39" max="39" width="10.33203125" bestFit="1" customWidth="1"/>
    <col min="42" max="43" width="13" bestFit="1" customWidth="1"/>
    <col min="49" max="49" width="14.6640625" bestFit="1" customWidth="1"/>
    <col min="50" max="50" width="15.33203125" bestFit="1" customWidth="1"/>
    <col min="54" max="54" width="11.5546875" bestFit="1" customWidth="1"/>
    <col min="65" max="65" width="14.6640625" bestFit="1" customWidth="1"/>
    <col min="70" max="70" width="22.33203125" bestFit="1" customWidth="1"/>
    <col min="71" max="71" width="12.44140625" bestFit="1" customWidth="1"/>
    <col min="72" max="72" width="28.6640625" bestFit="1" customWidth="1"/>
    <col min="73" max="73" width="10.5546875" bestFit="1" customWidth="1"/>
    <col min="74" max="74" width="10.33203125" bestFit="1" customWidth="1"/>
    <col min="75" max="75" width="10.5546875" bestFit="1" customWidth="1"/>
    <col min="76" max="76" width="10.33203125" bestFit="1" customWidth="1"/>
    <col min="77" max="77" width="10.5546875" bestFit="1" customWidth="1"/>
    <col min="78" max="78" width="9.6640625" bestFit="1" customWidth="1"/>
    <col min="79" max="79" width="11.44140625" bestFit="1" customWidth="1"/>
    <col min="80" max="80" width="11" bestFit="1" customWidth="1"/>
    <col min="81" max="81" width="10.5546875" bestFit="1" customWidth="1"/>
    <col min="82" max="82" width="11" bestFit="1" customWidth="1"/>
    <col min="83" max="83" width="28" bestFit="1" customWidth="1"/>
    <col min="88" max="88" width="11.5546875" bestFit="1" customWidth="1"/>
    <col min="99" max="99" width="13" bestFit="1" customWidth="1"/>
    <col min="105" max="105" width="21.44140625" bestFit="1" customWidth="1"/>
    <col min="106" max="106" width="11.6640625" bestFit="1" customWidth="1"/>
    <col min="107" max="107" width="28.6640625" bestFit="1" customWidth="1"/>
    <col min="108" max="108" width="9.44140625" bestFit="1" customWidth="1"/>
    <col min="111" max="112" width="12" bestFit="1" customWidth="1"/>
    <col min="113" max="113" width="18.6640625" bestFit="1" customWidth="1"/>
    <col min="118" max="118" width="28" bestFit="1" customWidth="1"/>
    <col min="123" max="123" width="11.5546875" bestFit="1" customWidth="1"/>
    <col min="139" max="139" width="22.33203125" bestFit="1" customWidth="1"/>
    <col min="140" max="140" width="11.6640625" bestFit="1" customWidth="1"/>
    <col min="141" max="141" width="28.6640625" bestFit="1" customWidth="1"/>
    <col min="142" max="142" width="10.33203125" bestFit="1" customWidth="1"/>
    <col min="157" max="157" width="11.5546875" bestFit="1" customWidth="1"/>
    <col min="175" max="175" width="28.6640625" bestFit="1" customWidth="1"/>
    <col min="176" max="176" width="10.44140625" bestFit="1" customWidth="1"/>
    <col min="186" max="186" width="28" bestFit="1" customWidth="1"/>
    <col min="189" max="190" width="13" bestFit="1" customWidth="1"/>
    <col min="191" max="191" width="11.5546875" bestFit="1" customWidth="1"/>
  </cols>
  <sheetData>
    <row r="1" spans="1:204" x14ac:dyDescent="0.3">
      <c r="A1" s="38" t="s">
        <v>163</v>
      </c>
      <c r="B1" s="31"/>
      <c r="C1" s="31"/>
      <c r="D1" s="31"/>
      <c r="E1" s="31"/>
      <c r="AJ1" s="38" t="s">
        <v>163</v>
      </c>
      <c r="AK1" s="31"/>
      <c r="AL1" s="31"/>
      <c r="AM1" s="31"/>
      <c r="AN1" s="31"/>
      <c r="BR1" s="38" t="s">
        <v>163</v>
      </c>
      <c r="BS1" s="31"/>
      <c r="BT1" s="31"/>
      <c r="BU1" s="31"/>
      <c r="BV1" s="31"/>
      <c r="DA1" s="38" t="s">
        <v>163</v>
      </c>
      <c r="DB1" s="31"/>
      <c r="DC1" s="31"/>
      <c r="DD1" s="31"/>
      <c r="DE1" s="31"/>
      <c r="EI1" s="38" t="s">
        <v>163</v>
      </c>
      <c r="EJ1" s="31"/>
      <c r="EK1" s="31"/>
      <c r="EL1" s="31"/>
      <c r="EM1" s="31"/>
      <c r="FQ1" s="38" t="s">
        <v>163</v>
      </c>
      <c r="FR1" s="31"/>
      <c r="FS1" s="31"/>
      <c r="FT1" s="31"/>
      <c r="FU1" s="31"/>
    </row>
    <row r="2" spans="1:204" x14ac:dyDescent="0.3">
      <c r="A2" s="31"/>
      <c r="B2" s="31"/>
      <c r="C2" s="31"/>
      <c r="D2" s="31"/>
      <c r="E2" s="31"/>
      <c r="P2" t="s">
        <v>153</v>
      </c>
      <c r="AJ2" s="31"/>
      <c r="AK2" s="31"/>
      <c r="AL2" s="31"/>
      <c r="AM2" s="31"/>
      <c r="AN2" s="31"/>
      <c r="AY2" t="s">
        <v>153</v>
      </c>
      <c r="BR2" s="31"/>
      <c r="BS2" s="31"/>
      <c r="BT2" s="31"/>
      <c r="BU2" s="31"/>
      <c r="BV2" s="31"/>
      <c r="CG2" t="s">
        <v>153</v>
      </c>
      <c r="DA2" s="31"/>
      <c r="DB2" s="31"/>
      <c r="DC2" s="31"/>
      <c r="DD2" s="31"/>
      <c r="DE2" s="31"/>
      <c r="DP2" t="s">
        <v>153</v>
      </c>
      <c r="EI2" s="31"/>
      <c r="EJ2" s="31"/>
      <c r="EK2" s="31"/>
      <c r="EL2" s="31"/>
      <c r="EM2" s="31"/>
      <c r="EX2" t="s">
        <v>153</v>
      </c>
      <c r="FQ2" s="31"/>
      <c r="FR2" s="31"/>
      <c r="FS2" s="31"/>
      <c r="FT2" s="31"/>
      <c r="FU2" s="31"/>
      <c r="GF2" t="s">
        <v>153</v>
      </c>
    </row>
    <row r="3" spans="1:204" x14ac:dyDescent="0.3">
      <c r="A3" s="32" t="s">
        <v>14</v>
      </c>
      <c r="B3" s="33"/>
      <c r="C3" s="33"/>
      <c r="D3" s="33"/>
      <c r="E3" s="34"/>
      <c r="F3" s="6"/>
      <c r="K3" s="6" t="s">
        <v>15</v>
      </c>
      <c r="P3" t="s">
        <v>154</v>
      </c>
      <c r="U3" s="32" t="s">
        <v>164</v>
      </c>
      <c r="V3" s="33"/>
      <c r="W3" s="34"/>
      <c r="AA3" s="32" t="s">
        <v>220</v>
      </c>
      <c r="AB3" s="33"/>
      <c r="AC3" s="34"/>
      <c r="AJ3" s="32" t="s">
        <v>14</v>
      </c>
      <c r="AK3" s="33"/>
      <c r="AL3" s="33"/>
      <c r="AM3" s="33"/>
      <c r="AN3" s="34"/>
      <c r="AO3" s="6"/>
      <c r="AT3" s="6" t="s">
        <v>15</v>
      </c>
      <c r="AY3" t="s">
        <v>154</v>
      </c>
      <c r="BD3" s="32" t="s">
        <v>164</v>
      </c>
      <c r="BE3" s="33"/>
      <c r="BF3" s="34"/>
      <c r="BJ3" s="32" t="s">
        <v>220</v>
      </c>
      <c r="BK3" s="33"/>
      <c r="BL3" s="34"/>
      <c r="BR3" s="32" t="s">
        <v>14</v>
      </c>
      <c r="BS3" s="33"/>
      <c r="BT3" s="33"/>
      <c r="BU3" s="33"/>
      <c r="BV3" s="34"/>
      <c r="BW3" s="6"/>
      <c r="CB3" s="6" t="s">
        <v>15</v>
      </c>
      <c r="CG3" t="s">
        <v>154</v>
      </c>
      <c r="CL3" s="32" t="s">
        <v>164</v>
      </c>
      <c r="CM3" s="33"/>
      <c r="CN3" s="34"/>
      <c r="CR3" s="32" t="s">
        <v>220</v>
      </c>
      <c r="CS3" s="33"/>
      <c r="CT3" s="34"/>
      <c r="DA3" s="32" t="s">
        <v>14</v>
      </c>
      <c r="DB3" s="33"/>
      <c r="DC3" s="33"/>
      <c r="DD3" s="33"/>
      <c r="DE3" s="34"/>
      <c r="DF3" s="6"/>
      <c r="DK3" s="6" t="s">
        <v>15</v>
      </c>
      <c r="DP3" t="s">
        <v>154</v>
      </c>
      <c r="DU3" s="32" t="s">
        <v>164</v>
      </c>
      <c r="DV3" s="33"/>
      <c r="DW3" s="34"/>
      <c r="EA3" s="32" t="s">
        <v>220</v>
      </c>
      <c r="EB3" s="33"/>
      <c r="EC3" s="34"/>
      <c r="EI3" s="32" t="s">
        <v>14</v>
      </c>
      <c r="EJ3" s="33"/>
      <c r="EK3" s="33"/>
      <c r="EL3" s="33"/>
      <c r="EM3" s="34"/>
      <c r="EN3" s="6"/>
      <c r="ES3" s="6" t="s">
        <v>15</v>
      </c>
      <c r="EX3" t="s">
        <v>154</v>
      </c>
      <c r="FC3" s="32" t="s">
        <v>164</v>
      </c>
      <c r="FD3" s="33"/>
      <c r="FE3" s="34"/>
      <c r="FI3" s="32" t="s">
        <v>220</v>
      </c>
      <c r="FJ3" s="33"/>
      <c r="FK3" s="34"/>
      <c r="FQ3" s="32" t="s">
        <v>14</v>
      </c>
      <c r="FR3" s="33"/>
      <c r="FS3" s="33"/>
      <c r="FT3" s="33"/>
      <c r="FU3" s="34"/>
      <c r="FV3" s="6"/>
      <c r="GA3" s="6" t="s">
        <v>15</v>
      </c>
      <c r="GF3" t="s">
        <v>154</v>
      </c>
      <c r="GK3" s="32" t="s">
        <v>164</v>
      </c>
      <c r="GL3" s="33"/>
      <c r="GM3" s="34"/>
      <c r="GQ3" s="32" t="s">
        <v>220</v>
      </c>
      <c r="GR3" s="33"/>
      <c r="GS3" s="34"/>
    </row>
    <row r="4" spans="1:204" x14ac:dyDescent="0.3">
      <c r="A4" s="35" t="s">
        <v>13</v>
      </c>
      <c r="B4" s="36"/>
      <c r="C4" s="36"/>
      <c r="D4" s="36"/>
      <c r="E4" s="37"/>
      <c r="F4" s="6" t="s">
        <v>6</v>
      </c>
      <c r="K4" s="7" t="s">
        <v>1</v>
      </c>
      <c r="P4" t="s">
        <v>155</v>
      </c>
      <c r="U4" s="35" t="s">
        <v>23</v>
      </c>
      <c r="V4" s="36"/>
      <c r="W4" s="37"/>
      <c r="Z4" s="24" t="s">
        <v>162</v>
      </c>
      <c r="AA4" s="35" t="s">
        <v>23</v>
      </c>
      <c r="AB4" s="36"/>
      <c r="AC4" s="37"/>
      <c r="AF4" s="24" t="s">
        <v>162</v>
      </c>
      <c r="AJ4" s="35" t="s">
        <v>13</v>
      </c>
      <c r="AK4" s="36"/>
      <c r="AL4" s="36"/>
      <c r="AM4" s="36"/>
      <c r="AN4" s="37"/>
      <c r="AO4" s="6" t="s">
        <v>6</v>
      </c>
      <c r="AT4" s="7" t="s">
        <v>1</v>
      </c>
      <c r="AY4" t="s">
        <v>155</v>
      </c>
      <c r="BD4" s="35" t="s">
        <v>23</v>
      </c>
      <c r="BE4" s="36"/>
      <c r="BF4" s="37"/>
      <c r="BI4" s="24" t="s">
        <v>162</v>
      </c>
      <c r="BJ4" s="35" t="s">
        <v>23</v>
      </c>
      <c r="BK4" s="36"/>
      <c r="BL4" s="37"/>
      <c r="BO4" s="24" t="s">
        <v>162</v>
      </c>
      <c r="BR4" s="35" t="s">
        <v>13</v>
      </c>
      <c r="BS4" s="36"/>
      <c r="BT4" s="36"/>
      <c r="BU4" s="36"/>
      <c r="BV4" s="37"/>
      <c r="BW4" s="6" t="s">
        <v>6</v>
      </c>
      <c r="CB4" s="7" t="s">
        <v>1</v>
      </c>
      <c r="CG4" t="s">
        <v>155</v>
      </c>
      <c r="CL4" s="35" t="s">
        <v>23</v>
      </c>
      <c r="CM4" s="36"/>
      <c r="CN4" s="37"/>
      <c r="CQ4" s="24" t="s">
        <v>162</v>
      </c>
      <c r="CR4" s="35" t="s">
        <v>23</v>
      </c>
      <c r="CS4" s="36"/>
      <c r="CT4" s="37"/>
      <c r="CW4" s="24" t="s">
        <v>162</v>
      </c>
      <c r="DA4" s="35" t="s">
        <v>13</v>
      </c>
      <c r="DB4" s="36"/>
      <c r="DC4" s="36"/>
      <c r="DD4" s="36"/>
      <c r="DE4" s="37"/>
      <c r="DF4" s="6" t="s">
        <v>6</v>
      </c>
      <c r="DK4" s="7" t="s">
        <v>1</v>
      </c>
      <c r="DP4" t="s">
        <v>155</v>
      </c>
      <c r="DU4" s="35" t="s">
        <v>23</v>
      </c>
      <c r="DV4" s="36"/>
      <c r="DW4" s="37"/>
      <c r="DZ4" s="24" t="s">
        <v>162</v>
      </c>
      <c r="EA4" s="35" t="s">
        <v>23</v>
      </c>
      <c r="EB4" s="36"/>
      <c r="EC4" s="37"/>
      <c r="EF4" s="24" t="s">
        <v>162</v>
      </c>
      <c r="EI4" s="35" t="s">
        <v>13</v>
      </c>
      <c r="EJ4" s="36"/>
      <c r="EK4" s="36"/>
      <c r="EL4" s="36"/>
      <c r="EM4" s="37"/>
      <c r="EN4" s="6" t="s">
        <v>6</v>
      </c>
      <c r="ES4" s="7" t="s">
        <v>1</v>
      </c>
      <c r="EX4" t="s">
        <v>155</v>
      </c>
      <c r="FC4" s="35" t="s">
        <v>23</v>
      </c>
      <c r="FD4" s="36"/>
      <c r="FE4" s="37"/>
      <c r="FH4" s="24" t="s">
        <v>162</v>
      </c>
      <c r="FI4" s="35" t="s">
        <v>23</v>
      </c>
      <c r="FJ4" s="36"/>
      <c r="FK4" s="37"/>
      <c r="FN4" s="24" t="s">
        <v>162</v>
      </c>
      <c r="FQ4" s="35" t="s">
        <v>13</v>
      </c>
      <c r="FR4" s="36"/>
      <c r="FS4" s="36"/>
      <c r="FT4" s="36"/>
      <c r="FU4" s="37"/>
      <c r="FV4" s="6" t="s">
        <v>6</v>
      </c>
      <c r="GA4" s="7" t="s">
        <v>1</v>
      </c>
      <c r="GF4" t="s">
        <v>155</v>
      </c>
      <c r="GK4" s="35" t="s">
        <v>23</v>
      </c>
      <c r="GL4" s="36"/>
      <c r="GM4" s="37"/>
      <c r="GP4" s="24" t="s">
        <v>162</v>
      </c>
      <c r="GQ4" s="35" t="s">
        <v>23</v>
      </c>
      <c r="GR4" s="36"/>
      <c r="GS4" s="37"/>
      <c r="GV4" s="24" t="s">
        <v>162</v>
      </c>
    </row>
    <row r="5" spans="1:204" x14ac:dyDescent="0.3">
      <c r="A5" s="45">
        <v>15.21</v>
      </c>
      <c r="B5" s="45">
        <v>15.96</v>
      </c>
      <c r="C5" s="45">
        <v>15.27</v>
      </c>
      <c r="D5" s="45">
        <v>15.53</v>
      </c>
      <c r="E5" s="45">
        <v>15.59</v>
      </c>
      <c r="F5" s="48">
        <f t="shared" ref="F5:F21" si="0">A5/60</f>
        <v>0.2535</v>
      </c>
      <c r="G5" s="48">
        <f t="shared" ref="G5:G21" si="1">B5/60</f>
        <v>0.26600000000000001</v>
      </c>
      <c r="H5" s="48">
        <f t="shared" ref="H5:H21" si="2">C5/60</f>
        <v>0.2545</v>
      </c>
      <c r="I5" s="48">
        <f t="shared" ref="I5:I21" si="3">D5/60</f>
        <v>0.2588333333333333</v>
      </c>
      <c r="J5" s="48">
        <f t="shared" ref="J5:J21" si="4">E5/60</f>
        <v>0.25983333333333331</v>
      </c>
      <c r="K5" s="49">
        <f>5/F5</f>
        <v>19.723865877712033</v>
      </c>
      <c r="L5" s="49">
        <f t="shared" ref="L5:O11" si="5">5/G5</f>
        <v>18.796992481203006</v>
      </c>
      <c r="M5" s="49">
        <f t="shared" si="5"/>
        <v>19.646365422396855</v>
      </c>
      <c r="N5" s="49">
        <f t="shared" si="5"/>
        <v>19.317450096587251</v>
      </c>
      <c r="O5" s="49">
        <f t="shared" si="5"/>
        <v>19.243104554201413</v>
      </c>
      <c r="P5" s="50">
        <f>(100000*K5/1000000)/(8.314*$J$69)</f>
        <v>8.0610526626511694E-4</v>
      </c>
      <c r="Q5" s="50">
        <f>(100000*L5/1000000)/(8.314*$J$69)</f>
        <v>7.6822437969250776E-4</v>
      </c>
      <c r="R5" s="50">
        <f>(100000*M5/1000000)/(8.314*$J$69)</f>
        <v>8.0293785853912411E-4</v>
      </c>
      <c r="S5" s="50">
        <f>(100000*N5/1000000)/(8.314*$J$69)</f>
        <v>7.8949524146119932E-4</v>
      </c>
      <c r="T5" s="50">
        <f>(100000*O5/1000000)/(8.314*$J$69)</f>
        <v>7.86456773565903E-4</v>
      </c>
      <c r="U5" s="52">
        <f>($H$69-P5)*10^(3)/60/$B$35</f>
        <v>14.331958555250202</v>
      </c>
      <c r="V5" s="52">
        <f>($H$69-Q5)*10^(3)/60/$B$35</f>
        <v>14.769028897613293</v>
      </c>
      <c r="W5" s="52">
        <f>($H$69-R5)*10^(3)/60/$B$35</f>
        <v>14.36850416187294</v>
      </c>
      <c r="X5" s="52">
        <f>($H$69-S5)*10^(3)/60/$B$35</f>
        <v>14.523605316573814</v>
      </c>
      <c r="Y5" s="52">
        <f>($H$69-T5)*10^(3)/60/$B$35</f>
        <v>14.558663213138903</v>
      </c>
      <c r="Z5" s="45">
        <f t="shared" ref="Z5:Z21" si="6">_xlfn.STDEV.P(U5:Y5)</f>
        <v>0.15580012284013903</v>
      </c>
      <c r="AA5" s="52">
        <f>($H$69-P5)*10^(3)/60/$B$35/$I$69</f>
        <v>0.98420343179080894</v>
      </c>
      <c r="AB5" s="52">
        <f>($H$69-Q5)*10^(3)/60/$B$35/$I$69</f>
        <v>1.0142179011481847</v>
      </c>
      <c r="AC5" s="52">
        <f>($H$69-R5)*10^(3)/60/$B$35/$I$69</f>
        <v>0.98671308958226267</v>
      </c>
      <c r="AD5" s="52">
        <f>($H$69-S5)*10^(3)/60/$B$35/$I$69</f>
        <v>0.99736418713762065</v>
      </c>
      <c r="AE5" s="52">
        <f>($H$69-T5)*10^(3)/60/$B$35/$I$69</f>
        <v>0.99977168098974933</v>
      </c>
      <c r="AF5" s="45">
        <f t="shared" ref="AF5:AF21" si="7">_xlfn.STDEV.P(AA5:AE5)</f>
        <v>1.0699097055127985E-2</v>
      </c>
      <c r="AJ5" s="45">
        <v>11.03</v>
      </c>
      <c r="AK5" s="45">
        <v>11.37</v>
      </c>
      <c r="AL5" s="45">
        <v>11.78</v>
      </c>
      <c r="AM5" s="45">
        <v>11.97</v>
      </c>
      <c r="AN5" s="45">
        <v>12.22</v>
      </c>
      <c r="AO5" s="48">
        <f t="shared" ref="AO5:AS10" si="8">AJ5/60</f>
        <v>0.18383333333333332</v>
      </c>
      <c r="AP5" s="48">
        <f t="shared" si="8"/>
        <v>0.18949999999999997</v>
      </c>
      <c r="AQ5" s="48">
        <f t="shared" si="8"/>
        <v>0.19633333333333333</v>
      </c>
      <c r="AR5" s="48">
        <f t="shared" si="8"/>
        <v>0.19950000000000001</v>
      </c>
      <c r="AS5" s="48">
        <f t="shared" si="8"/>
        <v>0.20366666666666669</v>
      </c>
      <c r="AT5" s="49">
        <f t="shared" ref="AT5:AT10" si="9">5/AO5</f>
        <v>27.198549410698099</v>
      </c>
      <c r="AU5" s="49">
        <f t="shared" ref="AU5:AU10" si="10">5/AP5</f>
        <v>26.385224274406337</v>
      </c>
      <c r="AV5" s="49">
        <f t="shared" ref="AV5:AV10" si="11">5/AQ5</f>
        <v>25.466893039049236</v>
      </c>
      <c r="AW5" s="49">
        <f t="shared" ref="AW5:AW10" si="12">5/AR5</f>
        <v>25.062656641604008</v>
      </c>
      <c r="AX5" s="49">
        <f t="shared" ref="AX5:AX10" si="13">5/AS5</f>
        <v>24.549918166939442</v>
      </c>
      <c r="AY5" s="50">
        <f>(100660*AT5/1000000)/(8.314*$AS$69)</f>
        <v>1.1310345033681112E-3</v>
      </c>
      <c r="AZ5" s="50">
        <f>(100660*AU5/1000000)/(8.314*$AS$69)</f>
        <v>1.0972128911301904E-3</v>
      </c>
      <c r="BA5" s="50">
        <f>(100660*AV5/1000000)/(8.314*$AS$69)</f>
        <v>1.0590246665662362E-3</v>
      </c>
      <c r="BB5" s="50">
        <f>(100660*AW5/1000000)/(8.314*$AS$69)</f>
        <v>1.0422147512239152E-3</v>
      </c>
      <c r="BC5" s="50">
        <f>(100660*AX5/1000000)/(8.314*$AS$69)</f>
        <v>1.0208928455114781E-3</v>
      </c>
      <c r="BD5" s="52">
        <f>($AQ$69-AY5)*10^(3)/60/$AK$35</f>
        <v>11.060716039415256</v>
      </c>
      <c r="BE5" s="52">
        <f>($AQ$69-AZ5)*10^(3)/60/$AK$35</f>
        <v>11.450950402377307</v>
      </c>
      <c r="BF5" s="52">
        <f>($AQ$69-BA5)*10^(3)/60/$AK$35</f>
        <v>11.891566815945488</v>
      </c>
      <c r="BG5" s="52">
        <f>($AQ$69-BB5)*10^(3)/60/$AK$35</f>
        <v>12.085519917852965</v>
      </c>
      <c r="BH5" s="52">
        <f>($AQ$69-BC5)*10^(3)/60/$AK$35</f>
        <v>12.331532444822354</v>
      </c>
      <c r="BI5" s="45">
        <f t="shared" ref="BI5:BI10" si="14">_xlfn.STDEV.P(BD5:BH5)</f>
        <v>0.45482959215608987</v>
      </c>
      <c r="BJ5" s="52">
        <f>($AQ$69-AY5)*10^(3)/60/$AK$35/$AR$69</f>
        <v>0.92932115785439851</v>
      </c>
      <c r="BK5" s="52">
        <f>($AQ$69-AZ5)*10^(3)/60/$AK$35/$AR$69</f>
        <v>0.96210864184098133</v>
      </c>
      <c r="BL5" s="52">
        <f>($AQ$69-BA5)*10^(3)/60/$AK$35/$AR$69</f>
        <v>0.99912922479127664</v>
      </c>
      <c r="BM5" s="52">
        <f>($AQ$69-BB5)*10^(3)/60/$AK$35/$AR$69</f>
        <v>1.0154251608402449</v>
      </c>
      <c r="BN5" s="52">
        <f>($AQ$69-BC5)*10^(3)/60/$AK$35/$AR$69</f>
        <v>1.0360951288237974</v>
      </c>
      <c r="BO5" s="45">
        <f t="shared" ref="BO5:BO10" si="15">_xlfn.STDEV.P(BJ5:BN5)</f>
        <v>3.8214773953394725E-2</v>
      </c>
      <c r="BR5" s="45">
        <v>10.83</v>
      </c>
      <c r="BS5" s="45">
        <v>10.88</v>
      </c>
      <c r="BT5" s="45">
        <v>10.96</v>
      </c>
      <c r="BU5" s="45">
        <v>11.19</v>
      </c>
      <c r="BV5" s="45">
        <v>11.14</v>
      </c>
      <c r="BW5" s="48">
        <f>BR5/60</f>
        <v>0.18049999999999999</v>
      </c>
      <c r="BX5" s="48">
        <f t="shared" ref="BX5:BX11" si="16">BS5/60</f>
        <v>0.18133333333333335</v>
      </c>
      <c r="BY5" s="48">
        <f t="shared" ref="BY5:BY11" si="17">BT5/60</f>
        <v>0.18266666666666667</v>
      </c>
      <c r="BZ5" s="48">
        <f t="shared" ref="BZ5:BZ11" si="18">BU5/60</f>
        <v>0.1865</v>
      </c>
      <c r="CA5" s="48">
        <f t="shared" ref="CA5:CA11" si="19">BV5/60</f>
        <v>0.18566666666666667</v>
      </c>
      <c r="CB5" s="49">
        <f>5/BW5</f>
        <v>27.70083102493075</v>
      </c>
      <c r="CC5" s="49">
        <f t="shared" ref="CC5:CC11" si="20">5/BX5</f>
        <v>27.573529411764703</v>
      </c>
      <c r="CD5" s="49">
        <f t="shared" ref="CD5:CD11" si="21">5/BY5</f>
        <v>27.372262773722628</v>
      </c>
      <c r="CE5" s="49">
        <f t="shared" ref="CE5:CE11" si="22">5/BZ5</f>
        <v>26.809651474530831</v>
      </c>
      <c r="CF5" s="49">
        <f t="shared" ref="CF5:CF11" si="23">5/CA5</f>
        <v>26.929982046678635</v>
      </c>
      <c r="CG5" s="50">
        <f>(100660*CB5/1000000)/(8.314*$CA$69)</f>
        <v>1.1558916569824502E-3</v>
      </c>
      <c r="CH5" s="50">
        <f>(100660*CC5/1000000)/(8.314*$CA$69)</f>
        <v>1.150579654882347E-3</v>
      </c>
      <c r="CI5" s="50">
        <f>(100660*CD5/1000000)/(8.314*$CA$69)</f>
        <v>1.1421812632408702E-3</v>
      </c>
      <c r="CJ5" s="50">
        <f>(100660*CE5/1000000)/(8.314*$CA$69)</f>
        <v>1.1187047940232292E-3</v>
      </c>
      <c r="CK5" s="50">
        <f>(100660*CF5/1000000)/(8.314*$CA$69)</f>
        <v>1.1237259106929923E-3</v>
      </c>
      <c r="CL5" s="52">
        <f>($BY$69-CG5)*10^(3)/60/$BS$35</f>
        <v>10.905739338514278</v>
      </c>
      <c r="CM5" s="52">
        <f>($BY$69-CH5)*10^(3)/60/$BS$35</f>
        <v>10.96702931313183</v>
      </c>
      <c r="CN5" s="52">
        <f>($BY$69-CI5)*10^(3)/60/$BS$35</f>
        <v>11.063930105118409</v>
      </c>
      <c r="CO5" s="52">
        <f>($BY$69-CJ5)*10^(3)/60/$BS$35</f>
        <v>11.334802024094307</v>
      </c>
      <c r="CP5" s="52">
        <f>($BY$69-CK5)*10^(3)/60/$BS$35</f>
        <v>11.276868290740632</v>
      </c>
      <c r="CQ5" s="45">
        <f>_xlfn.STDEV.P(CL5:CP5)</f>
        <v>0.16891768104887631</v>
      </c>
      <c r="CR5" s="52">
        <f>($BY$69-CG5)*10^(3)/60/$BS$35/$BZ$69</f>
        <v>0.97623125080240991</v>
      </c>
      <c r="CS5" s="52">
        <f>($BY$69-CH5)*10^(3)/60/$BS$35/$BZ$69</f>
        <v>0.98171764532600136</v>
      </c>
      <c r="CT5" s="52">
        <f>($BY$69-CI5)*10^(3)/60/$BS$35/$BZ$69</f>
        <v>0.99039175520782519</v>
      </c>
      <c r="CU5" s="52">
        <f>($BY$69-CJ5)*10^(3)/60/$BS$35/$BZ$69</f>
        <v>1.0146389542340504</v>
      </c>
      <c r="CV5" s="52">
        <f>($BY$69-CK5)*10^(3)/60/$BS$35/$BZ$69</f>
        <v>1.0094529948763225</v>
      </c>
      <c r="CW5" s="45">
        <f t="shared" ref="CW5:CW11" si="24">_xlfn.STDEV.P(CR5:CV5)</f>
        <v>1.5120728080362507E-2</v>
      </c>
      <c r="DA5" s="45">
        <v>6.68</v>
      </c>
      <c r="DB5" s="45">
        <v>6.6</v>
      </c>
      <c r="DC5" s="45">
        <v>6.59</v>
      </c>
      <c r="DD5" s="45">
        <v>6.68</v>
      </c>
      <c r="DE5" s="45">
        <v>6.7</v>
      </c>
      <c r="DF5" s="48">
        <f>DA5/60</f>
        <v>0.11133333333333333</v>
      </c>
      <c r="DG5" s="48">
        <f t="shared" ref="DG5:DG16" si="25">DB5/60</f>
        <v>0.11</v>
      </c>
      <c r="DH5" s="48">
        <f t="shared" ref="DH5:DH16" si="26">DC5/60</f>
        <v>0.10983333333333332</v>
      </c>
      <c r="DI5" s="48">
        <f t="shared" ref="DI5:DI16" si="27">DD5/60</f>
        <v>0.11133333333333333</v>
      </c>
      <c r="DJ5" s="48">
        <f t="shared" ref="DJ5:DJ15" si="28">DE5/60</f>
        <v>0.11166666666666666</v>
      </c>
      <c r="DK5" s="49">
        <f>5/DF5</f>
        <v>44.910179640718567</v>
      </c>
      <c r="DL5" s="49">
        <f t="shared" ref="DL5:DL16" si="29">5/DG5</f>
        <v>45.454545454545453</v>
      </c>
      <c r="DM5" s="49">
        <f t="shared" ref="DM5:DM16" si="30">5/DH5</f>
        <v>45.523520485584221</v>
      </c>
      <c r="DN5" s="49">
        <f t="shared" ref="DN5:DN16" si="31">5/DI5</f>
        <v>44.910179640718567</v>
      </c>
      <c r="DO5" s="49">
        <f t="shared" ref="DO5:DO15" si="32">5/DJ5</f>
        <v>44.776119402985074</v>
      </c>
      <c r="DP5" s="50">
        <f>(100660*DK5/1000000)/(8.314*$DJ$69)</f>
        <v>1.8541876212187132E-3</v>
      </c>
      <c r="DQ5" s="50">
        <f>(100660*DL5/1000000)/(8.314*$DJ$69)</f>
        <v>1.8766626226880308E-3</v>
      </c>
      <c r="DR5" s="50">
        <f>(100660*DM5/1000000)/(8.314*$DJ$69)</f>
        <v>1.8795103656663132E-3</v>
      </c>
      <c r="DS5" s="50">
        <f>(100660*DN5/1000000)/(8.314*$DJ$69)</f>
        <v>1.8541876212187132E-3</v>
      </c>
      <c r="DT5" s="50">
        <f>(100660*DO5/1000000)/(8.314*$DJ$69)</f>
        <v>1.8486527327971646E-3</v>
      </c>
      <c r="DU5" s="52">
        <f>($DH$69-DP5)*10^(3)/60/$DB$35</f>
        <v>2.7464820586283771</v>
      </c>
      <c r="DV5" s="52">
        <f>($DH$69-DQ5)*10^(3)/60/$DB$35</f>
        <v>2.4871650923272619</v>
      </c>
      <c r="DW5" s="52">
        <f>($DH$69-DR5)*10^(3)/60/$DB$35</f>
        <v>2.4543077832435838</v>
      </c>
      <c r="DX5" s="52">
        <f>($DH$69-DS5)*10^(3)/60/$DB$35</f>
        <v>2.7464820586283771</v>
      </c>
      <c r="DY5" s="52">
        <f>($DH$69-DT5)*10^(3)/60/$DB$35</f>
        <v>2.810343699583131</v>
      </c>
      <c r="DZ5" s="45">
        <f>_xlfn.STDEV.P(DU5:DY5)</f>
        <v>0.14773820080929079</v>
      </c>
      <c r="EA5" s="52">
        <f>($DH$69-DP5)*10^(3)/60/$DB$35/$DI$69</f>
        <v>1.0118163672654694</v>
      </c>
      <c r="EB5" s="52">
        <f>($DH$69-DQ5)*10^(3)/60/$DB$35/$DI$69</f>
        <v>0.91628282828282903</v>
      </c>
      <c r="EC5" s="52">
        <f>($DH$69-DR5)*10^(3)/60/$DB$35/$DI$69</f>
        <v>0.90417804754678843</v>
      </c>
      <c r="ED5" s="52">
        <f>($DH$69-DS5)*10^(3)/60/$DB$35/$DI$69</f>
        <v>1.0118163672654694</v>
      </c>
      <c r="EE5" s="52">
        <f>($DH$69-DT5)*10^(3)/60/$DB$35/$DI$69</f>
        <v>1.0353432835820904</v>
      </c>
      <c r="EF5" s="45">
        <f t="shared" ref="EF5:EF16" si="33">_xlfn.STDEV.P(EA5:EE5)</f>
        <v>5.4427418952027254E-2</v>
      </c>
      <c r="EI5" s="45">
        <v>6.05</v>
      </c>
      <c r="EJ5" s="45">
        <v>6</v>
      </c>
      <c r="EK5" s="45">
        <v>6.06</v>
      </c>
      <c r="EL5" s="45">
        <v>6.09</v>
      </c>
      <c r="EM5" s="45">
        <v>6.01</v>
      </c>
      <c r="EN5" s="48">
        <f>EI5/60</f>
        <v>0.10083333333333333</v>
      </c>
      <c r="EO5" s="48">
        <f t="shared" ref="EO5:EO16" si="34">EJ5/60</f>
        <v>0.1</v>
      </c>
      <c r="EP5" s="48">
        <f t="shared" ref="EP5:EP16" si="35">EK5/60</f>
        <v>0.10099999999999999</v>
      </c>
      <c r="EQ5" s="48">
        <f t="shared" ref="EQ5:EQ16" si="36">EL5/60</f>
        <v>0.10149999999999999</v>
      </c>
      <c r="ER5" s="48">
        <f t="shared" ref="ER5:ER15" si="37">EM5/60</f>
        <v>0.10016666666666667</v>
      </c>
      <c r="ES5" s="49">
        <f>5/EN5</f>
        <v>49.586776859504134</v>
      </c>
      <c r="ET5" s="49">
        <f t="shared" ref="ET5:ET16" si="38">5/EO5</f>
        <v>50</v>
      </c>
      <c r="EU5" s="49">
        <f t="shared" ref="EU5:EU16" si="39">5/EP5</f>
        <v>49.504950495049506</v>
      </c>
      <c r="EV5" s="49">
        <f t="shared" ref="EV5:EV16" si="40">5/EQ5</f>
        <v>49.26108374384237</v>
      </c>
      <c r="EW5" s="49">
        <f t="shared" ref="EW5:EW15" si="41">5/ER5</f>
        <v>49.916805324459233</v>
      </c>
      <c r="EX5" s="50">
        <f>(100000*ES5/1000000)/(8.314*$ER$69)</f>
        <v>2.0221224898453669E-3</v>
      </c>
      <c r="EY5" s="50">
        <f>(100000*ET5/1000000)/(8.314*$ER$69)</f>
        <v>2.0389735105940782E-3</v>
      </c>
      <c r="EZ5" s="50">
        <f>(100000*EU5/1000000)/(8.314*$ER$69)</f>
        <v>2.0187856540535426E-3</v>
      </c>
      <c r="FA5" s="50">
        <f>(100000*EV5/1000000)/(8.314*$ER$69)</f>
        <v>2.0088408971370231E-3</v>
      </c>
      <c r="FB5" s="50">
        <f>(100000*EW5/1000000)/(8.314*$ER$69)</f>
        <v>2.0355808758010761E-3</v>
      </c>
      <c r="FC5" s="52">
        <f>($EP$69-EX5)*10^(3)/60/$EJ$35</f>
        <v>0.4962427308355653</v>
      </c>
      <c r="FD5" s="52">
        <f>($EP$69-EY5)*10^(3)/60/$EJ$35</f>
        <v>0.30181535401877335</v>
      </c>
      <c r="FE5" s="52">
        <f>($EP$69-EZ5)*10^(3)/60/$EJ$35</f>
        <v>0.53474320149235843</v>
      </c>
      <c r="FF5" s="52">
        <f>($EP$69-FA5)*10^(3)/60/$EJ$35</f>
        <v>0.64948598349904463</v>
      </c>
      <c r="FG5" s="52">
        <f>($EP$69-FB5)*10^(3)/60/$EJ$35</f>
        <v>0.3409596345426234</v>
      </c>
      <c r="FH5" s="45">
        <f>_xlfn.STDEV.P(FC5:FG5)</f>
        <v>0.12797650313245021</v>
      </c>
      <c r="FI5" s="52">
        <f>($EP$69-EX5)*10^(3)/60/$EJ$35/$EQ$69</f>
        <v>1.0547024331686652</v>
      </c>
      <c r="FJ5" s="52">
        <f>($EP$69-EY5)*10^(3)/60/$EJ$35/$EQ$69</f>
        <v>0.64147113594041227</v>
      </c>
      <c r="FK5" s="52">
        <f>($EP$69-EZ5)*10^(3)/60/$EJ$35/$EQ$69</f>
        <v>1.13653041281783</v>
      </c>
      <c r="FL5" s="52">
        <f>($EP$69-FA5)*10^(3)/60/$EJ$35/$EQ$69</f>
        <v>1.3804019777820624</v>
      </c>
      <c r="FM5" s="52">
        <f>($EP$69-FB5)*10^(3)/60/$EJ$35/$EQ$69</f>
        <v>0.72466745368520924</v>
      </c>
      <c r="FN5" s="45">
        <f t="shared" ref="FN5:FN16" si="42">_xlfn.STDEV.P(FI5:FM5)</f>
        <v>0.2719981993790424</v>
      </c>
      <c r="FQ5" s="45">
        <v>5.92</v>
      </c>
      <c r="FR5" s="45">
        <v>6.09</v>
      </c>
      <c r="FS5" s="45">
        <v>6.15</v>
      </c>
      <c r="FT5" s="45">
        <v>5.9</v>
      </c>
      <c r="FU5" s="45">
        <v>5.88</v>
      </c>
      <c r="FV5" s="48">
        <f>FQ5/60</f>
        <v>9.8666666666666666E-2</v>
      </c>
      <c r="FW5" s="48">
        <f t="shared" ref="FW5:FW16" si="43">FR5/60</f>
        <v>0.10149999999999999</v>
      </c>
      <c r="FX5" s="48">
        <f t="shared" ref="FX5:FX16" si="44">FS5/60</f>
        <v>0.10250000000000001</v>
      </c>
      <c r="FY5" s="48">
        <f t="shared" ref="FY5:FY16" si="45">FT5/60</f>
        <v>9.8333333333333342E-2</v>
      </c>
      <c r="FZ5" s="48">
        <f t="shared" ref="FZ5:FZ15" si="46">FU5/60</f>
        <v>9.8000000000000004E-2</v>
      </c>
      <c r="GA5" s="49">
        <f>5/FV5</f>
        <v>50.675675675675677</v>
      </c>
      <c r="GB5" s="49">
        <f t="shared" ref="GB5:GB16" si="47">5/FW5</f>
        <v>49.26108374384237</v>
      </c>
      <c r="GC5" s="49">
        <f t="shared" ref="GC5:GC16" si="48">5/FX5</f>
        <v>48.780487804878042</v>
      </c>
      <c r="GD5" s="49">
        <f t="shared" ref="GD5:GD16" si="49">5/FY5</f>
        <v>50.847457627118636</v>
      </c>
      <c r="GE5" s="49">
        <f t="shared" ref="GE5:GE15" si="50">5/FZ5</f>
        <v>51.020408163265301</v>
      </c>
      <c r="GF5" s="50">
        <f>(100000*GA5/1000000)/(8.314*$FZ$69)</f>
        <v>2.0665272066831874E-3</v>
      </c>
      <c r="GG5" s="50">
        <f>(100000*GB5/1000000)/(8.314*$FZ$69)</f>
        <v>2.0088408971370231E-3</v>
      </c>
      <c r="GH5" s="50">
        <f>(100000*GC5/1000000)/(8.314*$FZ$69)</f>
        <v>1.9892424493600761E-3</v>
      </c>
      <c r="GI5" s="50">
        <f>(100000*GD5/1000000)/(8.314*$FZ$69)</f>
        <v>2.0735323836549944E-3</v>
      </c>
      <c r="GJ5" s="50">
        <f>(100000*GE5/1000000)/(8.314*$FZ$69)</f>
        <v>2.0805852148919161E-3</v>
      </c>
      <c r="GK5" s="52">
        <f>($FX$69-GF5)*10^(3)/60/$FR$35</f>
        <v>-2.6820728492578598E-2</v>
      </c>
      <c r="GL5" s="52">
        <f>($FX$69-GG5)*10^(3)/60/$FR$35</f>
        <v>0.63876493605298779</v>
      </c>
      <c r="GM5" s="52">
        <f>($FX$69-GH5)*10^(3)/60/$FR$35</f>
        <v>0.86489217473935043</v>
      </c>
      <c r="GN5" s="52">
        <f>($FX$69-GI5)*10^(3)/60/$FR$35</f>
        <v>-0.10764658486510695</v>
      </c>
      <c r="GO5" s="52">
        <f>($FX$69-GJ5)*10^(3)/60/$FR$35</f>
        <v>-0.18902227699527605</v>
      </c>
      <c r="GP5" s="45">
        <f>_xlfn.STDEV.P(GK5:GO5)</f>
        <v>0.43024100271977972</v>
      </c>
      <c r="GQ5" s="52">
        <f>($FX$69-GF5)*10^(3)/60/$FR$35/$FY$69</f>
        <v>-0.11554054054056467</v>
      </c>
      <c r="GR5" s="52">
        <f>($FX$69-GG5)*10^(3)/60/$FR$35/$FY$69</f>
        <v>2.7517241379309696</v>
      </c>
      <c r="GS5" s="52">
        <f>($FX$69-GH5)*10^(3)/60/$FR$35/$FY$69</f>
        <v>3.7258536585365354</v>
      </c>
      <c r="GT5" s="52">
        <f>($FX$69-GI5)*10^(3)/60/$FR$35/$FY$69</f>
        <v>-0.46372881355932383</v>
      </c>
      <c r="GU5" s="52">
        <f>($FX$69-GJ5)*10^(3)/60/$FR$35/$FY$69</f>
        <v>-0.81428571428571306</v>
      </c>
      <c r="GV5" s="45">
        <f t="shared" ref="GV5:GV16" si="51">_xlfn.STDEV.P(GQ5:GU5)</f>
        <v>1.8534275842176671</v>
      </c>
    </row>
    <row r="6" spans="1:204" x14ac:dyDescent="0.3">
      <c r="A6" s="45">
        <v>16.93</v>
      </c>
      <c r="B6" s="47">
        <v>16.87</v>
      </c>
      <c r="C6" s="45">
        <v>16.829999999999998</v>
      </c>
      <c r="D6" s="45">
        <v>17.13</v>
      </c>
      <c r="E6" s="45">
        <v>17.04</v>
      </c>
      <c r="F6" s="48">
        <f t="shared" si="0"/>
        <v>0.28216666666666668</v>
      </c>
      <c r="G6" s="48">
        <f t="shared" si="1"/>
        <v>0.28116666666666668</v>
      </c>
      <c r="H6" s="48">
        <f t="shared" si="2"/>
        <v>0.28049999999999997</v>
      </c>
      <c r="I6" s="48">
        <f t="shared" si="3"/>
        <v>0.28549999999999998</v>
      </c>
      <c r="J6" s="48">
        <f t="shared" si="4"/>
        <v>0.28399999999999997</v>
      </c>
      <c r="K6" s="49">
        <f t="shared" ref="K6:K11" si="52">5/F6</f>
        <v>17.720023626698168</v>
      </c>
      <c r="L6" s="49">
        <f t="shared" si="5"/>
        <v>17.783046828689983</v>
      </c>
      <c r="M6" s="49">
        <f t="shared" si="5"/>
        <v>17.825311942959004</v>
      </c>
      <c r="N6" s="49">
        <f t="shared" si="5"/>
        <v>17.513134851138354</v>
      </c>
      <c r="O6" s="49">
        <f t="shared" si="5"/>
        <v>17.605633802816904</v>
      </c>
      <c r="P6" s="50">
        <f>(100000*K6/1000000)/(8.314*$J$70)</f>
        <v>7.2017150246547334E-4</v>
      </c>
      <c r="Q6" s="50">
        <f>(100000*L6/1000000)/(8.314*$J$70)</f>
        <v>7.2273287117607975E-4</v>
      </c>
      <c r="R6" s="50">
        <f>(100000*M6/1000000)/(8.314*$J$70)</f>
        <v>7.2445059636009896E-4</v>
      </c>
      <c r="S6" s="50">
        <f>(100000*N6/1000000)/(8.314*$J$70)</f>
        <v>7.1176319537305684E-4</v>
      </c>
      <c r="T6" s="50">
        <f>(100000*O6/1000000)/(8.314*$J$70)</f>
        <v>7.1552250802467518E-4</v>
      </c>
      <c r="U6" s="52">
        <f>($H$70-P6)*10^(3)/60/$B$35</f>
        <v>15.191704614297604</v>
      </c>
      <c r="V6" s="52">
        <f>($H$70-Q6)*10^(3)/60/$B$35</f>
        <v>15.162151496602826</v>
      </c>
      <c r="W6" s="52">
        <f>($H$70-R6)*10^(3)/60/$B$35</f>
        <v>15.142332352908129</v>
      </c>
      <c r="X6" s="52">
        <f>($H$70-S6)*10^(3)/60/$B$35</f>
        <v>15.288719810933307</v>
      </c>
      <c r="Y6" s="52">
        <f>($H$70-T6)*10^(3)/60/$B$35</f>
        <v>15.245344794761412</v>
      </c>
      <c r="Z6" s="45">
        <f t="shared" si="6"/>
        <v>5.3983674894531125E-2</v>
      </c>
      <c r="AA6" s="52">
        <f>($H$70-P6)*10^(3)/60/$B$35/$I$69</f>
        <v>1.0432438636006751</v>
      </c>
      <c r="AB6" s="52">
        <f>($H$70-Q6)*10^(3)/60/$B$35/$I$69</f>
        <v>1.0412143936058247</v>
      </c>
      <c r="AC6" s="52">
        <f>($H$70-R6)*10^(3)/60/$B$35/$I$69</f>
        <v>1.0398533745124272</v>
      </c>
      <c r="AD6" s="52">
        <f>($H$70-S6)*10^(3)/60/$B$35/$I$69</f>
        <v>1.0499060855919422</v>
      </c>
      <c r="AE6" s="52">
        <f>($H$70-T6)*10^(3)/60/$B$35/$I$69</f>
        <v>1.0469274389815861</v>
      </c>
      <c r="AF6" s="45">
        <f t="shared" si="7"/>
        <v>3.7071638106582253E-3</v>
      </c>
      <c r="AJ6" s="45">
        <v>12.34</v>
      </c>
      <c r="AK6" s="47">
        <v>12.5</v>
      </c>
      <c r="AL6" s="45">
        <v>12.49</v>
      </c>
      <c r="AM6" s="45">
        <v>12.38</v>
      </c>
      <c r="AN6" s="45">
        <v>12.3</v>
      </c>
      <c r="AO6" s="48">
        <f t="shared" si="8"/>
        <v>0.20566666666666666</v>
      </c>
      <c r="AP6" s="48">
        <f t="shared" si="8"/>
        <v>0.20833333333333334</v>
      </c>
      <c r="AQ6" s="48">
        <f t="shared" si="8"/>
        <v>0.20816666666666667</v>
      </c>
      <c r="AR6" s="48">
        <f t="shared" si="8"/>
        <v>0.20633333333333334</v>
      </c>
      <c r="AS6" s="48">
        <f t="shared" si="8"/>
        <v>0.20500000000000002</v>
      </c>
      <c r="AT6" s="49">
        <f t="shared" si="9"/>
        <v>24.311183144246353</v>
      </c>
      <c r="AU6" s="49">
        <f t="shared" si="10"/>
        <v>24</v>
      </c>
      <c r="AV6" s="49">
        <f t="shared" si="11"/>
        <v>24.01921537229784</v>
      </c>
      <c r="AW6" s="49">
        <f t="shared" si="12"/>
        <v>24.232633279483036</v>
      </c>
      <c r="AX6" s="49">
        <f t="shared" si="13"/>
        <v>24.390243902439021</v>
      </c>
      <c r="AY6" s="50">
        <f>(100660*AT6/1000000)/(8.314*$AS$70)</f>
        <v>1.0085404080106952E-3</v>
      </c>
      <c r="AZ6" s="50">
        <f>(100660*AU6/1000000)/(8.314*$AS$70)</f>
        <v>9.9563109078815832E-4</v>
      </c>
      <c r="BA6" s="50">
        <f>(100660*AV6/1000000)/(8.314*$AS$70)</f>
        <v>9.9642823337485822E-4</v>
      </c>
      <c r="BB6" s="50">
        <f>(100660*AW6/1000000)/(8.314*$AS$70)</f>
        <v>1.0052817960300466E-3</v>
      </c>
      <c r="BC6" s="50">
        <f>(100660*AX6/1000000)/(8.314*$AS$70)</f>
        <v>1.0118202142156078E-3</v>
      </c>
      <c r="BD6" s="52">
        <f>($AQ$70-AY6)*10^(3)/60/$AK$35</f>
        <v>12.416225968556919</v>
      </c>
      <c r="BE6" s="52">
        <f>($AQ$70-AZ6)*10^(3)/60/$AK$35</f>
        <v>12.565173900050366</v>
      </c>
      <c r="BF6" s="52">
        <f>($AQ$70-BA6)*10^(3)/60/$AK$35</f>
        <v>12.555976454720957</v>
      </c>
      <c r="BG6" s="52">
        <f>($AQ$70-BB6)*10^(3)/60/$AK$35</f>
        <v>12.453823891490444</v>
      </c>
      <c r="BH6" s="52">
        <f>($AQ$70-BC6)*10^(3)/60/$AK$35</f>
        <v>12.378383506287246</v>
      </c>
      <c r="BI6" s="45">
        <f t="shared" si="14"/>
        <v>7.4726451080035075E-2</v>
      </c>
      <c r="BJ6" s="52">
        <f>($AQ$70-AY6)*10^(3)/60/$AK$35/$AR$69</f>
        <v>1.0432110771276231</v>
      </c>
      <c r="BK6" s="52">
        <f>($AQ$70-AZ6)*10^(3)/60/$AK$35/$AR$69</f>
        <v>1.055725679587558</v>
      </c>
      <c r="BL6" s="52">
        <f>($AQ$70-BA6)*10^(3)/60/$AK$35/$AR$69</f>
        <v>1.0549529104004305</v>
      </c>
      <c r="BM6" s="52">
        <f>($AQ$70-BB6)*10^(3)/60/$AK$35/$AR$69</f>
        <v>1.046370053919812</v>
      </c>
      <c r="BN6" s="52">
        <f>($AQ$70-BC6)*10^(3)/60/$AK$35/$AR$69</f>
        <v>1.0400315541449163</v>
      </c>
      <c r="BO6" s="45">
        <f t="shared" si="15"/>
        <v>6.2785150430206714E-3</v>
      </c>
      <c r="BR6" s="45">
        <v>11.4</v>
      </c>
      <c r="BS6" s="47">
        <v>11.31</v>
      </c>
      <c r="BT6" s="45">
        <v>11.42</v>
      </c>
      <c r="BU6" s="45">
        <v>11.34</v>
      </c>
      <c r="BV6" s="45">
        <v>11.25</v>
      </c>
      <c r="BW6" s="48">
        <f t="shared" ref="BW6:BW11" si="53">BR6/60</f>
        <v>0.19</v>
      </c>
      <c r="BX6" s="48">
        <f t="shared" si="16"/>
        <v>0.1885</v>
      </c>
      <c r="BY6" s="48">
        <f t="shared" si="17"/>
        <v>0.19033333333333333</v>
      </c>
      <c r="BZ6" s="48">
        <f t="shared" si="18"/>
        <v>0.189</v>
      </c>
      <c r="CA6" s="48">
        <f t="shared" si="19"/>
        <v>0.1875</v>
      </c>
      <c r="CB6" s="49">
        <f t="shared" ref="CB6:CB11" si="54">5/BW6</f>
        <v>26.315789473684209</v>
      </c>
      <c r="CC6" s="49">
        <f t="shared" si="20"/>
        <v>26.525198938992041</v>
      </c>
      <c r="CD6" s="49">
        <f t="shared" si="21"/>
        <v>26.26970227670753</v>
      </c>
      <c r="CE6" s="49">
        <f t="shared" si="22"/>
        <v>26.455026455026456</v>
      </c>
      <c r="CF6" s="49">
        <f t="shared" si="23"/>
        <v>26.666666666666668</v>
      </c>
      <c r="CG6" s="50">
        <f>(100660*CB6/1000000)/(8.314*$CA$70)</f>
        <v>1.0939497547117082E-3</v>
      </c>
      <c r="CH6" s="50">
        <f>(100660*CC6/1000000)/(8.314*$CA$70)</f>
        <v>1.102654925173605E-3</v>
      </c>
      <c r="CI6" s="50">
        <f>(100660*CD6/1000000)/(8.314*$CA$70)</f>
        <v>1.0920339057542445E-3</v>
      </c>
      <c r="CJ6" s="50">
        <f>(100660*CE6/1000000)/(8.314*$CA$70)</f>
        <v>1.099737848651982E-3</v>
      </c>
      <c r="CK6" s="50">
        <f>(100660*CF6/1000000)/(8.314*$CA$70)</f>
        <v>1.1085357514411978E-3</v>
      </c>
      <c r="CL6" s="52">
        <f>($BY$70-CG6)*10^(3)/60/$BS$35</f>
        <v>11.528866685740065</v>
      </c>
      <c r="CM6" s="52">
        <f>($BY$70-CH6)*10^(3)/60/$BS$35</f>
        <v>11.428426274272464</v>
      </c>
      <c r="CN6" s="52">
        <f>($BY$70-CI6)*10^(3)/60/$BS$35</f>
        <v>11.550971785053131</v>
      </c>
      <c r="CO6" s="52">
        <f>($BY$70-CJ6)*10^(3)/60/$BS$35</f>
        <v>11.462083555011164</v>
      </c>
      <c r="CP6" s="52">
        <f>($BY$70-CK6)*10^(3)/60/$BS$35</f>
        <v>11.360573196303239</v>
      </c>
      <c r="CQ6" s="45">
        <f t="shared" ref="CQ6:CQ11" si="55">_xlfn.STDEV.P(CL6:CP6)</f>
        <v>6.8868264017693678E-2</v>
      </c>
      <c r="CR6" s="52">
        <f>($BY$70-CG6)*10^(3)/60/$BS$35/$BZ$69</f>
        <v>1.0320107234919056</v>
      </c>
      <c r="CS6" s="52">
        <f>($BY$70-CH6)*10^(3)/60/$BS$35/$BZ$69</f>
        <v>1.0230197632759537</v>
      </c>
      <c r="CT6" s="52">
        <f>($BY$70-CI6)*10^(3)/60/$BS$35/$BZ$69</f>
        <v>1.0339894695522756</v>
      </c>
      <c r="CU6" s="52">
        <f>($BY$70-CJ6)*10^(3)/60/$BS$35/$BZ$69</f>
        <v>1.0260326070872954</v>
      </c>
      <c r="CV6" s="52">
        <f>($BY$70-CK6)*10^(3)/60/$BS$35/$BZ$69</f>
        <v>1.0169458701522882</v>
      </c>
      <c r="CW6" s="45">
        <f t="shared" si="24"/>
        <v>6.1647678745770122E-3</v>
      </c>
      <c r="DA6" s="45">
        <v>6.71</v>
      </c>
      <c r="DB6" s="47">
        <v>6.73</v>
      </c>
      <c r="DC6" s="45">
        <v>6.72</v>
      </c>
      <c r="DD6" s="45">
        <v>6.75</v>
      </c>
      <c r="DE6" s="45">
        <v>6.76</v>
      </c>
      <c r="DF6" s="48">
        <f t="shared" ref="DF6:DF11" si="56">DA6/60</f>
        <v>0.11183333333333333</v>
      </c>
      <c r="DG6" s="48">
        <f t="shared" si="25"/>
        <v>0.11216666666666668</v>
      </c>
      <c r="DH6" s="48">
        <f t="shared" si="26"/>
        <v>0.112</v>
      </c>
      <c r="DI6" s="48">
        <f t="shared" si="27"/>
        <v>0.1125</v>
      </c>
      <c r="DJ6" s="48">
        <f t="shared" si="28"/>
        <v>0.11266666666666666</v>
      </c>
      <c r="DK6" s="49">
        <f t="shared" ref="DK6:DK11" si="57">5/DF6</f>
        <v>44.709388971684056</v>
      </c>
      <c r="DL6" s="49">
        <f t="shared" si="29"/>
        <v>44.576523031203564</v>
      </c>
      <c r="DM6" s="49">
        <f t="shared" si="30"/>
        <v>44.642857142857139</v>
      </c>
      <c r="DN6" s="49">
        <f t="shared" si="31"/>
        <v>44.444444444444443</v>
      </c>
      <c r="DO6" s="49">
        <f t="shared" si="32"/>
        <v>44.378698224852073</v>
      </c>
      <c r="DP6" s="50">
        <f>(100660*DK6/1000000)/(8.314*$DJ$70)</f>
        <v>1.8340148713599867E-3</v>
      </c>
      <c r="DQ6" s="50">
        <f>(100660*DL6/1000000)/(8.314*$DJ$70)</f>
        <v>1.828564604283137E-3</v>
      </c>
      <c r="DR6" s="50">
        <f>(100660*DM6/1000000)/(8.314*$DJ$70)</f>
        <v>1.8312856825633203E-3</v>
      </c>
      <c r="DS6" s="50">
        <f>(100660*DN6/1000000)/(8.314*$DJ$70)</f>
        <v>1.8231466350852612E-3</v>
      </c>
      <c r="DT6" s="50">
        <f>(100660*DO6/1000000)/(8.314*$DJ$70)</f>
        <v>1.8204496726073245E-3</v>
      </c>
      <c r="DU6" s="52">
        <f>($DH$70-DP6)*10^(3)/60/$DB$35</f>
        <v>2.8238358069408824</v>
      </c>
      <c r="DV6" s="52">
        <f>($DH$70-DQ6)*10^(3)/60/$DB$35</f>
        <v>2.8867210853169034</v>
      </c>
      <c r="DW6" s="52">
        <f>($DH$70-DR6)*10^(3)/60/$DB$35</f>
        <v>2.8553252357705396</v>
      </c>
      <c r="DX6" s="52">
        <f>($DH$70-DS6)*10^(3)/60/$DB$35</f>
        <v>2.9492337101914368</v>
      </c>
      <c r="DY6" s="52">
        <f>($DH$70-DT6)*10^(3)/60/$DB$35</f>
        <v>2.9803513111829751</v>
      </c>
      <c r="DZ6" s="45">
        <f t="shared" ref="DZ6:DZ16" si="58">_xlfn.STDEV.P(DU6:DY6)</f>
        <v>5.8050547834789003E-2</v>
      </c>
      <c r="EA6" s="52">
        <f>($DH$70-DP6)*10^(3)/60/$DB$35/$DI$69</f>
        <v>1.0403138367341083</v>
      </c>
      <c r="EB6" s="52">
        <f>($DH$70-DQ6)*10^(3)/60/$DB$35/$DI$69</f>
        <v>1.0634810566768012</v>
      </c>
      <c r="EC6" s="52">
        <f>($DH$70-DR6)*10^(3)/60/$DB$35/$DI$69</f>
        <v>1.0519146842202922</v>
      </c>
      <c r="ED6" s="52">
        <f>($DH$70-DS6)*10^(3)/60/$DB$35/$DI$69</f>
        <v>1.0865109893902039</v>
      </c>
      <c r="EE6" s="52">
        <f>($DH$70-DT6)*10^(3)/60/$DB$35/$DI$69</f>
        <v>1.0979748538252034</v>
      </c>
      <c r="EF6" s="45">
        <f t="shared" si="33"/>
        <v>2.1386083423861918E-2</v>
      </c>
      <c r="EI6" s="45">
        <v>6.12</v>
      </c>
      <c r="EJ6" s="47">
        <v>6.1</v>
      </c>
      <c r="EK6" s="45">
        <v>6.06</v>
      </c>
      <c r="EL6" s="45">
        <v>6.08</v>
      </c>
      <c r="EM6" s="45">
        <v>6.03</v>
      </c>
      <c r="EN6" s="48">
        <f t="shared" ref="EN6:EN16" si="59">EI6/60</f>
        <v>0.10200000000000001</v>
      </c>
      <c r="EO6" s="48">
        <f t="shared" si="34"/>
        <v>0.10166666666666666</v>
      </c>
      <c r="EP6" s="48">
        <f t="shared" si="35"/>
        <v>0.10099999999999999</v>
      </c>
      <c r="EQ6" s="48">
        <f t="shared" si="36"/>
        <v>0.10133333333333333</v>
      </c>
      <c r="ER6" s="48">
        <f t="shared" si="37"/>
        <v>0.10050000000000001</v>
      </c>
      <c r="ES6" s="49">
        <f t="shared" ref="ES6:ES16" si="60">5/EN6</f>
        <v>49.019607843137251</v>
      </c>
      <c r="ET6" s="49">
        <f t="shared" si="38"/>
        <v>49.180327868852466</v>
      </c>
      <c r="EU6" s="49">
        <f t="shared" si="39"/>
        <v>49.504950495049506</v>
      </c>
      <c r="EV6" s="49">
        <f t="shared" si="40"/>
        <v>49.342105263157897</v>
      </c>
      <c r="EW6" s="49">
        <f t="shared" si="41"/>
        <v>49.751243781094523</v>
      </c>
      <c r="EX6" s="50">
        <f>(100000*ES6/1000000)/(8.314*$ER$70)</f>
        <v>1.9848617184989761E-3</v>
      </c>
      <c r="EY6" s="50">
        <f>(100000*ET6/1000000)/(8.314*$ER$70)</f>
        <v>1.9913694618383178E-3</v>
      </c>
      <c r="EZ6" s="50">
        <f>(100000*EU6/1000000)/(8.314*$ER$70)</f>
        <v>2.0045138147217387E-3</v>
      </c>
      <c r="FA6" s="50">
        <f>(100000*EV6/1000000)/(8.314*$ER$70)</f>
        <v>1.9979200192785751E-3</v>
      </c>
      <c r="FB6" s="50">
        <f>(100000*EW6/1000000)/(8.314*$ER$70)</f>
        <v>2.0144865202676178E-3</v>
      </c>
      <c r="FC6" s="52">
        <f>($EP$70-EX6)*10^(3)/60/$EJ$35</f>
        <v>0.75770906079094191</v>
      </c>
      <c r="FD6" s="52">
        <f>($EP$70-EY6)*10^(3)/60/$EJ$35</f>
        <v>0.68262260250847184</v>
      </c>
      <c r="FE6" s="52">
        <f>($EP$70-EZ6)*10^(3)/60/$EJ$35</f>
        <v>0.53096282538350459</v>
      </c>
      <c r="FF6" s="52">
        <f>($EP$70-FA6)*10^(3)/60/$EJ$35</f>
        <v>0.60704215436889331</v>
      </c>
      <c r="FG6" s="52">
        <f>($EP$70-FB6)*10^(3)/60/$EJ$35</f>
        <v>0.41589757159466045</v>
      </c>
      <c r="FH6" s="45">
        <f t="shared" ref="FH6:FH16" si="61">_xlfn.STDEV.P(FC6:FG6)</f>
        <v>0.11866037334056614</v>
      </c>
      <c r="FI6" s="52">
        <f>($EP$70-EX6)*10^(3)/60/$EJ$35/$EQ$69</f>
        <v>1.610416718255081</v>
      </c>
      <c r="FJ6" s="52">
        <f>($EP$70-EY6)*10^(3)/60/$EJ$35/$EQ$69</f>
        <v>1.4508297554089082</v>
      </c>
      <c r="FK6" s="52">
        <f>($EP$70-EZ6)*10^(3)/60/$EJ$35/$EQ$69</f>
        <v>1.128495691838467</v>
      </c>
      <c r="FL6" s="52">
        <f>($EP$70-FA6)*10^(3)/60/$EJ$35/$EQ$69</f>
        <v>1.2901928783335121</v>
      </c>
      <c r="FM6" s="52">
        <f>($EP$70-FB6)*10^(3)/60/$EJ$35/$EQ$69</f>
        <v>0.88393875305989666</v>
      </c>
      <c r="FN6" s="45">
        <f t="shared" si="42"/>
        <v>0.25219791990155543</v>
      </c>
      <c r="FQ6" s="45">
        <v>6.02</v>
      </c>
      <c r="FR6" s="47">
        <v>6</v>
      </c>
      <c r="FS6" s="45">
        <v>6.06</v>
      </c>
      <c r="FT6" s="45">
        <v>6.07</v>
      </c>
      <c r="FU6" s="45">
        <v>6.05</v>
      </c>
      <c r="FV6" s="48">
        <f t="shared" ref="FV6:FV16" si="62">FQ6/60</f>
        <v>0.10033333333333333</v>
      </c>
      <c r="FW6" s="48">
        <f t="shared" si="43"/>
        <v>0.1</v>
      </c>
      <c r="FX6" s="48">
        <f t="shared" si="44"/>
        <v>0.10099999999999999</v>
      </c>
      <c r="FY6" s="48">
        <f t="shared" si="45"/>
        <v>0.10116666666666667</v>
      </c>
      <c r="FZ6" s="48">
        <f t="shared" si="46"/>
        <v>0.10083333333333333</v>
      </c>
      <c r="GA6" s="49">
        <f t="shared" ref="GA6:GA16" si="63">5/FV6</f>
        <v>49.833887043189371</v>
      </c>
      <c r="GB6" s="49">
        <f t="shared" si="47"/>
        <v>50</v>
      </c>
      <c r="GC6" s="49">
        <f t="shared" si="48"/>
        <v>49.504950495049506</v>
      </c>
      <c r="GD6" s="49">
        <f t="shared" si="49"/>
        <v>49.423393739703457</v>
      </c>
      <c r="GE6" s="49">
        <f t="shared" si="50"/>
        <v>49.586776859504134</v>
      </c>
      <c r="GF6" s="50">
        <f>(100000*GA6/1000000)/(8.314*$FZ$70)</f>
        <v>2.0198727754988789E-3</v>
      </c>
      <c r="GG6" s="50">
        <f>(100000*GB6/1000000)/(8.314*$FZ$70)</f>
        <v>2.0266056847505418E-3</v>
      </c>
      <c r="GH6" s="50">
        <f>(100000*GC6/1000000)/(8.314*$FZ$70)</f>
        <v>2.0065402819312295E-3</v>
      </c>
      <c r="GI6" s="50">
        <f>(100000*GD6/1000000)/(8.314*$FZ$70)</f>
        <v>2.0032346142509474E-3</v>
      </c>
      <c r="GJ6" s="50">
        <f>(100000*GE6/1000000)/(8.314*$FZ$70)</f>
        <v>2.0098568774385541E-3</v>
      </c>
      <c r="GK6" s="52">
        <f>($FX$70-GF6)*10^(3)/60/$FR$35</f>
        <v>0.36701303895922782</v>
      </c>
      <c r="GL6" s="52">
        <f>($FX$70-GG6)*10^(3)/60/$FR$35</f>
        <v>0.2893286123795249</v>
      </c>
      <c r="GM6" s="52">
        <f>($FX$70-GH6)*10^(3)/60/$FR$35</f>
        <v>0.52084358664181052</v>
      </c>
      <c r="GN6" s="52">
        <f>($FX$70-GI6)*10^(3)/60/$FR$35</f>
        <v>0.55898443907381745</v>
      </c>
      <c r="GO6" s="52">
        <f>($FX$70-GJ6)*10^(3)/60/$FR$35</f>
        <v>0.48257664874721473</v>
      </c>
      <c r="GP6" s="45">
        <f t="shared" ref="GP6:GP16" si="64">_xlfn.STDEV.P(GK6:GO6)</f>
        <v>0.10046335833984546</v>
      </c>
      <c r="GQ6" s="52">
        <f>($FX$70-GF6)*10^(3)/60/$FR$35/$FY$69</f>
        <v>1.5810489606394587</v>
      </c>
      <c r="GR6" s="52">
        <f>($FX$70-GG6)*10^(3)/60/$FR$35/$FY$69</f>
        <v>1.2463935973041078</v>
      </c>
      <c r="GS6" s="52">
        <f>($FX$70-GH6)*10^(3)/60/$FR$35/$FY$69</f>
        <v>2.2437328484322441</v>
      </c>
      <c r="GT6" s="52">
        <f>($FX$70-GI6)*10^(3)/60/$FR$35/$FY$69</f>
        <v>2.4080391501007976</v>
      </c>
      <c r="GU6" s="52">
        <f>($FX$70-GJ6)*10^(3)/60/$FR$35/$FY$69</f>
        <v>2.0788833854358444</v>
      </c>
      <c r="GV6" s="45">
        <f t="shared" si="51"/>
        <v>0.43278431942361706</v>
      </c>
    </row>
    <row r="7" spans="1:204" x14ac:dyDescent="0.3">
      <c r="A7" s="45">
        <v>17.18</v>
      </c>
      <c r="B7" s="47">
        <v>17.190000000000001</v>
      </c>
      <c r="C7" s="45">
        <v>17.149999999999999</v>
      </c>
      <c r="D7" s="45">
        <v>17.12</v>
      </c>
      <c r="E7" s="45">
        <v>16.93</v>
      </c>
      <c r="F7" s="48">
        <f t="shared" si="0"/>
        <v>0.28633333333333333</v>
      </c>
      <c r="G7" s="48">
        <f t="shared" si="1"/>
        <v>0.28650000000000003</v>
      </c>
      <c r="H7" s="48">
        <f t="shared" si="2"/>
        <v>0.28583333333333333</v>
      </c>
      <c r="I7" s="48">
        <f t="shared" si="3"/>
        <v>0.28533333333333333</v>
      </c>
      <c r="J7" s="48">
        <f t="shared" si="4"/>
        <v>0.28216666666666668</v>
      </c>
      <c r="K7" s="49">
        <f t="shared" si="52"/>
        <v>17.462165308498253</v>
      </c>
      <c r="L7" s="49">
        <f t="shared" si="5"/>
        <v>17.452006980802789</v>
      </c>
      <c r="M7" s="49">
        <f t="shared" si="5"/>
        <v>17.492711370262391</v>
      </c>
      <c r="N7" s="49">
        <f t="shared" si="5"/>
        <v>17.523364485981308</v>
      </c>
      <c r="O7" s="49">
        <f t="shared" si="5"/>
        <v>17.720023626698168</v>
      </c>
      <c r="P7" s="50">
        <f>(100000*K7/1000000)/(8.314*$J$71)</f>
        <v>7.0885339475933499E-4</v>
      </c>
      <c r="Q7" s="50">
        <f>(100000*L7/1000000)/(8.314*$J$71)</f>
        <v>7.0844103094621139E-4</v>
      </c>
      <c r="R7" s="50">
        <f>(100000*M7/1000000)/(8.314*$J$71)</f>
        <v>7.1009337154317065E-4</v>
      </c>
      <c r="S7" s="50">
        <f>(100000*N7/1000000)/(8.314*$J$71)</f>
        <v>7.113376940400336E-4</v>
      </c>
      <c r="T7" s="50">
        <f>(100000*O7/1000000)/(8.314*$J$71)</f>
        <v>7.1932081051183556E-4</v>
      </c>
      <c r="U7" s="52">
        <f>($H$71-P7)*10^(3)/60/$B$35</f>
        <v>15.294532866477297</v>
      </c>
      <c r="V7" s="52">
        <f>($H$71-Q7)*10^(3)/60/$B$35</f>
        <v>15.299290727480221</v>
      </c>
      <c r="W7" s="52">
        <f>($H$71-R7)*10^(3)/60/$B$35</f>
        <v>15.280225992312818</v>
      </c>
      <c r="X7" s="52">
        <f>($H$71-S7)*10^(3)/60/$B$35</f>
        <v>15.265868977234208</v>
      </c>
      <c r="Y7" s="52">
        <f>($H$71-T7)*10^(3)/60/$B$35</f>
        <v>15.173759637534177</v>
      </c>
      <c r="Z7" s="45">
        <f t="shared" si="6"/>
        <v>4.5999559287852015E-2</v>
      </c>
      <c r="AA7" s="52">
        <f>($H$71-P7)*10^(3)/60/$B$35/$I$69</f>
        <v>1.0503052794071861</v>
      </c>
      <c r="AB7" s="52">
        <f>($H$71-Q7)*10^(3)/60/$B$35/$I$69</f>
        <v>1.0506320109637286</v>
      </c>
      <c r="AC7" s="52">
        <f>($H$71-R7)*10^(3)/60/$B$35/$I$69</f>
        <v>1.0493227985692324</v>
      </c>
      <c r="AD7" s="52">
        <f>($H$71-S7)*10^(3)/60/$B$35/$I$69</f>
        <v>1.0483368744573136</v>
      </c>
      <c r="AE7" s="52">
        <f>($H$71-T7)*10^(3)/60/$B$35/$I$69</f>
        <v>1.0420115471907521</v>
      </c>
      <c r="AF7" s="45">
        <f t="shared" si="7"/>
        <v>3.1588790839325752E-3</v>
      </c>
      <c r="AJ7" s="45">
        <v>12.47</v>
      </c>
      <c r="AK7" s="47">
        <v>12.46</v>
      </c>
      <c r="AL7" s="45">
        <v>12.45</v>
      </c>
      <c r="AM7" s="45">
        <v>12.4</v>
      </c>
      <c r="AN7" s="45">
        <v>12.47</v>
      </c>
      <c r="AO7" s="48">
        <f t="shared" si="8"/>
        <v>0.20783333333333334</v>
      </c>
      <c r="AP7" s="48">
        <f t="shared" si="8"/>
        <v>0.20766666666666669</v>
      </c>
      <c r="AQ7" s="48">
        <f t="shared" si="8"/>
        <v>0.20749999999999999</v>
      </c>
      <c r="AR7" s="48">
        <f t="shared" si="8"/>
        <v>0.20666666666666667</v>
      </c>
      <c r="AS7" s="48">
        <f t="shared" si="8"/>
        <v>0.20783333333333334</v>
      </c>
      <c r="AT7" s="49">
        <f t="shared" si="9"/>
        <v>24.057738572574177</v>
      </c>
      <c r="AU7" s="49">
        <f t="shared" si="10"/>
        <v>24.077046548956659</v>
      </c>
      <c r="AV7" s="49">
        <f t="shared" si="11"/>
        <v>24.096385542168676</v>
      </c>
      <c r="AW7" s="49">
        <f t="shared" si="12"/>
        <v>24.193548387096776</v>
      </c>
      <c r="AX7" s="49">
        <f t="shared" si="13"/>
        <v>24.057738572574177</v>
      </c>
      <c r="AY7" s="50">
        <f>(100660*AT7/1000000)/(8.314*$AS$71)</f>
        <v>9.966603641606371E-4</v>
      </c>
      <c r="AZ7" s="50">
        <f>(100660*AU7/1000000)/(8.314*$AS$71)</f>
        <v>9.9746025209335003E-4</v>
      </c>
      <c r="BA7" s="50">
        <f>(100660*AV7/1000000)/(8.314*$AS$71)</f>
        <v>9.9826142498659807E-4</v>
      </c>
      <c r="BB7" s="50">
        <f>(100660*AW7/1000000)/(8.314*$AS$71)</f>
        <v>1.0022866726679955E-3</v>
      </c>
      <c r="BC7" s="50">
        <f>(100660*AX7/1000000)/(8.314*$AS$71)</f>
        <v>9.966603641606371E-4</v>
      </c>
      <c r="BD7" s="52">
        <f>($AQ$71-AY7)*10^(3)/60/$AK$35</f>
        <v>12.520377293266339</v>
      </c>
      <c r="BE7" s="52">
        <f>($AQ$71-AZ7)*10^(3)/60/$AK$35</f>
        <v>12.511148172085852</v>
      </c>
      <c r="BF7" s="52">
        <f>($AQ$71-BA7)*10^(3)/60/$AK$35</f>
        <v>12.501904225007879</v>
      </c>
      <c r="BG7" s="52">
        <f>($AQ$71-BB7)*10^(3)/60/$AK$35</f>
        <v>12.455460845737107</v>
      </c>
      <c r="BH7" s="52">
        <f>($AQ$71-BC7)*10^(3)/60/$AK$35</f>
        <v>12.520377293266339</v>
      </c>
      <c r="BI7" s="45">
        <f t="shared" si="14"/>
        <v>2.4186499150115386E-2</v>
      </c>
      <c r="BJ7" s="52">
        <f>($AQ$71-AY7)*10^(3)/60/$AK$35/$AR$69</f>
        <v>1.051961869510875</v>
      </c>
      <c r="BK7" s="52">
        <f>($AQ$71-AZ7)*10^(3)/60/$AK$35/$AR$69</f>
        <v>1.0511864389193233</v>
      </c>
      <c r="BL7" s="52">
        <f>($AQ$71-BA7)*10^(3)/60/$AK$35/$AR$69</f>
        <v>1.0504097626561382</v>
      </c>
      <c r="BM7" s="52">
        <f>($AQ$71-BB7)*10^(3)/60/$AK$35/$AR$69</f>
        <v>1.0465075907854582</v>
      </c>
      <c r="BN7" s="52">
        <f>($AQ$71-BC7)*10^(3)/60/$AK$35/$AR$69</f>
        <v>1.051961869510875</v>
      </c>
      <c r="BO7" s="45">
        <f t="shared" si="15"/>
        <v>2.0321492129923317E-3</v>
      </c>
      <c r="BR7" s="45">
        <v>11.38</v>
      </c>
      <c r="BS7" s="47">
        <v>11.34</v>
      </c>
      <c r="BT7" s="45">
        <v>11.48</v>
      </c>
      <c r="BU7" s="45">
        <v>11.4</v>
      </c>
      <c r="BV7" s="45">
        <v>11.32</v>
      </c>
      <c r="BW7" s="48">
        <f t="shared" si="53"/>
        <v>0.18966666666666668</v>
      </c>
      <c r="BX7" s="48">
        <f t="shared" si="16"/>
        <v>0.189</v>
      </c>
      <c r="BY7" s="48">
        <f t="shared" si="17"/>
        <v>0.19133333333333333</v>
      </c>
      <c r="BZ7" s="48">
        <f t="shared" si="18"/>
        <v>0.19</v>
      </c>
      <c r="CA7" s="48">
        <f t="shared" si="19"/>
        <v>0.18866666666666668</v>
      </c>
      <c r="CB7" s="49">
        <f t="shared" si="54"/>
        <v>26.362038664323372</v>
      </c>
      <c r="CC7" s="49">
        <f t="shared" si="20"/>
        <v>26.455026455026456</v>
      </c>
      <c r="CD7" s="49">
        <f t="shared" si="21"/>
        <v>26.132404181184668</v>
      </c>
      <c r="CE7" s="49">
        <f t="shared" si="22"/>
        <v>26.315789473684209</v>
      </c>
      <c r="CF7" s="49">
        <f t="shared" si="23"/>
        <v>26.501766784452297</v>
      </c>
      <c r="CG7" s="50">
        <f>(100660*CB7/1000000)/(8.314*$CA$71)</f>
        <v>1.094744703730817E-3</v>
      </c>
      <c r="CH7" s="50">
        <f>(100660*CC7/1000000)/(8.314*$CA$71)</f>
        <v>1.0986062370773101E-3</v>
      </c>
      <c r="CI7" s="50">
        <f>(100660*CD7/1000000)/(8.314*$CA$71)</f>
        <v>1.0852086000397818E-3</v>
      </c>
      <c r="CJ7" s="50">
        <f>(100660*CE7/1000000)/(8.314*$CA$71)</f>
        <v>1.0928240989874294E-3</v>
      </c>
      <c r="CK7" s="50">
        <f>(100660*CF7/1000000)/(8.314*$CA$71)</f>
        <v>1.1005472374961745E-3</v>
      </c>
      <c r="CL7" s="52">
        <f>($BY$71-CG7)*10^(3)/60/$BS$35</f>
        <v>11.494843706004509</v>
      </c>
      <c r="CM7" s="52">
        <f>($BY$71-CH7)*10^(3)/60/$BS$35</f>
        <v>11.450289265638837</v>
      </c>
      <c r="CN7" s="52">
        <f>($BY$71-CI7)*10^(3)/60/$BS$35</f>
        <v>11.604871439834385</v>
      </c>
      <c r="CO7" s="52">
        <f>($BY$71-CJ7)*10^(3)/60/$BS$35</f>
        <v>11.517003677660073</v>
      </c>
      <c r="CP7" s="52">
        <f>($BY$71-CK7)*10^(3)/60/$BS$35</f>
        <v>11.427893968317219</v>
      </c>
      <c r="CQ7" s="45">
        <f t="shared" si="55"/>
        <v>6.1610016112314973E-2</v>
      </c>
      <c r="CR7" s="52">
        <f>($BY$71-CG7)*10^(3)/60/$BS$35/$BZ$69</f>
        <v>1.0289651440009338</v>
      </c>
      <c r="CS7" s="52">
        <f>($BY$71-CH7)*10^(3)/60/$BS$35/$BZ$69</f>
        <v>1.0249768369548102</v>
      </c>
      <c r="CT7" s="52">
        <f>($BY$71-CI7)*10^(3)/60/$BS$35/$BZ$69</f>
        <v>1.0388143168892274</v>
      </c>
      <c r="CU7" s="52">
        <f>($BY$71-CJ7)*10^(3)/60/$BS$35/$BZ$69</f>
        <v>1.0309488019791375</v>
      </c>
      <c r="CV7" s="52">
        <f>($BY$71-CK7)*10^(3)/60/$BS$35/$BZ$69</f>
        <v>1.0229721137134282</v>
      </c>
      <c r="CW7" s="45">
        <f t="shared" si="24"/>
        <v>5.5150431552011825E-3</v>
      </c>
      <c r="DA7" s="45">
        <v>6.76</v>
      </c>
      <c r="DB7" s="47">
        <v>6.81</v>
      </c>
      <c r="DC7" s="45">
        <v>6.62</v>
      </c>
      <c r="DD7" s="45">
        <v>6.68</v>
      </c>
      <c r="DE7" s="45">
        <v>6.76</v>
      </c>
      <c r="DF7" s="48">
        <f t="shared" si="56"/>
        <v>0.11266666666666666</v>
      </c>
      <c r="DG7" s="48">
        <f t="shared" si="25"/>
        <v>0.11349999999999999</v>
      </c>
      <c r="DH7" s="48">
        <f t="shared" si="26"/>
        <v>0.11033333333333334</v>
      </c>
      <c r="DI7" s="48">
        <f t="shared" si="27"/>
        <v>0.11133333333333333</v>
      </c>
      <c r="DJ7" s="48">
        <f t="shared" si="28"/>
        <v>0.11266666666666666</v>
      </c>
      <c r="DK7" s="49">
        <f t="shared" si="57"/>
        <v>44.378698224852073</v>
      </c>
      <c r="DL7" s="49">
        <f t="shared" si="29"/>
        <v>44.052863436123353</v>
      </c>
      <c r="DM7" s="49">
        <f t="shared" si="30"/>
        <v>45.317220543806641</v>
      </c>
      <c r="DN7" s="49">
        <f t="shared" si="31"/>
        <v>44.910179640718567</v>
      </c>
      <c r="DO7" s="49">
        <f t="shared" si="32"/>
        <v>44.378698224852073</v>
      </c>
      <c r="DP7" s="50">
        <f>(100660*DK7/1000000)/(8.314*$DJ$71)</f>
        <v>1.8136901970297104E-3</v>
      </c>
      <c r="DQ7" s="50">
        <f>(100660*DL7/1000000)/(8.314*$DJ$71)</f>
        <v>1.8003738226021794E-3</v>
      </c>
      <c r="DR7" s="50">
        <f>(100660*DM7/1000000)/(8.314*$DJ$71)</f>
        <v>1.8520461830696133E-3</v>
      </c>
      <c r="DS7" s="50">
        <f>(100660*DN7/1000000)/(8.314*$DJ$71)</f>
        <v>1.8354110377127009E-3</v>
      </c>
      <c r="DT7" s="50">
        <f>(100660*DO7/1000000)/(8.314*$DJ$71)</f>
        <v>1.8136901970297104E-3</v>
      </c>
      <c r="DU7" s="52">
        <f>($DH$71-DP7)*10^(3)/60/$DB$35</f>
        <v>2.9692850278334357</v>
      </c>
      <c r="DV7" s="52">
        <f>($DH$71-DQ7)*10^(3)/60/$DB$35</f>
        <v>3.1229295925909182</v>
      </c>
      <c r="DW7" s="52">
        <f>($DH$71-DR7)*10^(3)/60/$DB$35</f>
        <v>2.5267329793748816</v>
      </c>
      <c r="DX7" s="52">
        <f>($DH$71-DS7)*10^(3)/60/$DB$35</f>
        <v>2.7186695820853042</v>
      </c>
      <c r="DY7" s="52">
        <f>($DH$71-DT7)*10^(3)/60/$DB$35</f>
        <v>2.9692850278334357</v>
      </c>
      <c r="DZ7" s="45">
        <f t="shared" si="58"/>
        <v>0.21168376000138664</v>
      </c>
      <c r="EA7" s="52">
        <f>($DH$71-DP7)*10^(3)/60/$DB$35/$DI$69</f>
        <v>1.0938979851696502</v>
      </c>
      <c r="EB7" s="52">
        <f>($DH$71-DQ7)*10^(3)/60/$DB$35/$DI$69</f>
        <v>1.150501335216888</v>
      </c>
      <c r="EC7" s="52">
        <f>($DH$71-DR7)*10^(3)/60/$DB$35/$DI$69</f>
        <v>0.9308598161816275</v>
      </c>
      <c r="ED7" s="52">
        <f>($DH$71-DS7)*10^(3)/60/$DB$35/$DI$69</f>
        <v>1.0015701255716416</v>
      </c>
      <c r="EE7" s="52">
        <f>($DH$71-DT7)*10^(3)/60/$DB$35/$DI$69</f>
        <v>1.0938979851696502</v>
      </c>
      <c r="EF7" s="45">
        <f t="shared" si="33"/>
        <v>7.7985251125457844E-2</v>
      </c>
      <c r="EI7" s="45">
        <v>6.08</v>
      </c>
      <c r="EJ7" s="47">
        <v>6.01</v>
      </c>
      <c r="EK7" s="45">
        <v>6.12</v>
      </c>
      <c r="EL7" s="45">
        <v>6.06</v>
      </c>
      <c r="EM7" s="45">
        <v>6.15</v>
      </c>
      <c r="EN7" s="48">
        <f t="shared" si="59"/>
        <v>0.10133333333333333</v>
      </c>
      <c r="EO7" s="48">
        <f t="shared" si="34"/>
        <v>0.10016666666666667</v>
      </c>
      <c r="EP7" s="48">
        <f t="shared" si="35"/>
        <v>0.10200000000000001</v>
      </c>
      <c r="EQ7" s="48">
        <f t="shared" si="36"/>
        <v>0.10099999999999999</v>
      </c>
      <c r="ER7" s="48">
        <f t="shared" si="37"/>
        <v>0.10250000000000001</v>
      </c>
      <c r="ES7" s="49">
        <f t="shared" si="60"/>
        <v>49.342105263157897</v>
      </c>
      <c r="ET7" s="49">
        <f t="shared" si="38"/>
        <v>49.916805324459233</v>
      </c>
      <c r="EU7" s="49">
        <f t="shared" si="39"/>
        <v>49.019607843137251</v>
      </c>
      <c r="EV7" s="49">
        <f t="shared" si="40"/>
        <v>49.504950495049506</v>
      </c>
      <c r="EW7" s="49">
        <f t="shared" si="41"/>
        <v>48.780487804878042</v>
      </c>
      <c r="EX7" s="50">
        <f>(100000*ES7/1000000)/(8.314*$ER$71)</f>
        <v>1.9938926313680522E-3</v>
      </c>
      <c r="EY7" s="50">
        <f>(100000*ET7/1000000)/(8.314*$ER$71)</f>
        <v>2.0171160064422224E-3</v>
      </c>
      <c r="EZ7" s="50">
        <f>(100000*EU7/1000000)/(8.314*$ER$71)</f>
        <v>1.980860653385254E-3</v>
      </c>
      <c r="FA7" s="50">
        <f>(100000*EV7/1000000)/(8.314*$ER$71)</f>
        <v>2.0004731351019401E-3</v>
      </c>
      <c r="FB7" s="50">
        <f>(100000*EW7/1000000)/(8.314*$ER$71)</f>
        <v>1.971197918490692E-3</v>
      </c>
      <c r="FC7" s="52">
        <f>($EP$71-EX7)*10^(3)/60/$EJ$35</f>
        <v>0.60581848464733756</v>
      </c>
      <c r="FD7" s="52">
        <f>($EP$71-EY7)*10^(3)/60/$EJ$35</f>
        <v>0.33786677039592145</v>
      </c>
      <c r="FE7" s="52">
        <f>($EP$71-EZ7)*10^(3)/60/$EJ$35</f>
        <v>0.75618167817218118</v>
      </c>
      <c r="FF7" s="52">
        <f>($EP$71-FA7)*10^(3)/60/$EJ$35</f>
        <v>0.52989251563974693</v>
      </c>
      <c r="FG7" s="52">
        <f>($EP$71-FB7)*10^(3)/60/$EJ$35</f>
        <v>0.86767048507840028</v>
      </c>
      <c r="FH7" s="45">
        <f t="shared" si="61"/>
        <v>0.18319630507360316</v>
      </c>
      <c r="FI7" s="52">
        <f>($EP$71-EX7)*10^(3)/60/$EJ$35/$EQ$69</f>
        <v>1.2875921199696634</v>
      </c>
      <c r="FJ7" s="52">
        <f>($EP$71-EY7)*10^(3)/60/$EJ$35/$EQ$69</f>
        <v>0.71809395418931921</v>
      </c>
      <c r="FK7" s="52">
        <f>($EP$71-EZ7)*10^(3)/60/$EJ$35/$EQ$69</f>
        <v>1.6071704557623812</v>
      </c>
      <c r="FL7" s="52">
        <f>($EP$71-FA7)*10^(3)/60/$EJ$35/$EQ$69</f>
        <v>1.1262208811040415</v>
      </c>
      <c r="FM7" s="52">
        <f>($EP$71-FB7)*10^(3)/60/$EJ$35/$EQ$69</f>
        <v>1.8441260998623337</v>
      </c>
      <c r="FN7" s="45">
        <f t="shared" si="42"/>
        <v>0.38936104592061549</v>
      </c>
      <c r="FQ7" s="45">
        <v>5.9</v>
      </c>
      <c r="FR7" s="47">
        <v>5.96</v>
      </c>
      <c r="FS7" s="45">
        <v>6.21</v>
      </c>
      <c r="FT7" s="45">
        <v>5.97</v>
      </c>
      <c r="FU7" s="45">
        <v>6.03</v>
      </c>
      <c r="FV7" s="48">
        <f t="shared" si="62"/>
        <v>9.8333333333333342E-2</v>
      </c>
      <c r="FW7" s="48">
        <f t="shared" si="43"/>
        <v>9.9333333333333329E-2</v>
      </c>
      <c r="FX7" s="48">
        <f t="shared" si="44"/>
        <v>0.10349999999999999</v>
      </c>
      <c r="FY7" s="48">
        <f t="shared" si="45"/>
        <v>9.9499999999999991E-2</v>
      </c>
      <c r="FZ7" s="48">
        <f t="shared" si="46"/>
        <v>0.10050000000000001</v>
      </c>
      <c r="GA7" s="49">
        <f t="shared" si="63"/>
        <v>50.847457627118636</v>
      </c>
      <c r="GB7" s="49">
        <f t="shared" si="47"/>
        <v>50.335570469798661</v>
      </c>
      <c r="GC7" s="49">
        <f t="shared" si="48"/>
        <v>48.309178743961354</v>
      </c>
      <c r="GD7" s="49">
        <f t="shared" si="49"/>
        <v>50.251256281407038</v>
      </c>
      <c r="GE7" s="49">
        <f t="shared" si="50"/>
        <v>49.751243781094523</v>
      </c>
      <c r="GF7" s="50">
        <f>(100000*GA7/1000000)/(8.314*$FZ$71)</f>
        <v>2.0581806379237448E-3</v>
      </c>
      <c r="GG7" s="50">
        <f>(100000*GB7/1000000)/(8.314*$FZ$71)</f>
        <v>2.0374606986157877E-3</v>
      </c>
      <c r="GH7" s="50">
        <f>(100000*GC7/1000000)/(8.314*$FZ$71)</f>
        <v>1.9554373210547656E-3</v>
      </c>
      <c r="GI7" s="50">
        <f>(100000*GD7/1000000)/(8.314*$FZ$71)</f>
        <v>2.0340478666248064E-3</v>
      </c>
      <c r="GJ7" s="50">
        <f>(100000*GE7/1000000)/(8.314*$FZ$71)</f>
        <v>2.0138085843698331E-3</v>
      </c>
      <c r="GK7" s="52">
        <f>($FX$71-GF7)*10^(3)/60/$FR$35</f>
        <v>-0.10684960526994453</v>
      </c>
      <c r="GL7" s="52">
        <f>($FX$71-GG7)*10^(3)/60/$FR$35</f>
        <v>0.13221742262848793</v>
      </c>
      <c r="GM7" s="52">
        <f>($FX$71-GH7)*10^(3)/60/$FR$35</f>
        <v>1.0786046103638292</v>
      </c>
      <c r="GN7" s="52">
        <f>($FX$71-GI7)*10^(3)/60/$FR$35</f>
        <v>0.17159473878149664</v>
      </c>
      <c r="GO7" s="52">
        <f>($FX$71-GJ7)*10^(3)/60/$FR$35</f>
        <v>0.40511593706202415</v>
      </c>
      <c r="GP7" s="45">
        <f t="shared" si="64"/>
        <v>0.40519396056894191</v>
      </c>
      <c r="GQ7" s="52">
        <f>($FX$71-GF7)*10^(3)/60/$FR$35/$FY$69</f>
        <v>-0.46029551929774754</v>
      </c>
      <c r="GR7" s="52">
        <f>($FX$71-GG7)*10^(3)/60/$FR$35/$FY$69</f>
        <v>0.5695770897350102</v>
      </c>
      <c r="GS7" s="52">
        <f>($FX$71-GH7)*10^(3)/60/$FR$35/$FY$69</f>
        <v>4.6465016692393544</v>
      </c>
      <c r="GT7" s="52">
        <f>($FX$71-GI7)*10^(3)/60/$FR$35/$FY$69</f>
        <v>0.73920993153549475</v>
      </c>
      <c r="GU7" s="52">
        <f>($FX$71-GJ7)*10^(3)/60/$FR$35/$FY$69</f>
        <v>1.7451917595264208</v>
      </c>
      <c r="GV7" s="45">
        <f t="shared" si="51"/>
        <v>1.7455278756079295</v>
      </c>
    </row>
    <row r="8" spans="1:204" x14ac:dyDescent="0.3">
      <c r="A8" s="45">
        <v>17.43</v>
      </c>
      <c r="B8" s="47">
        <v>17.43</v>
      </c>
      <c r="C8" s="45">
        <v>17.34</v>
      </c>
      <c r="D8" s="45">
        <v>17.72</v>
      </c>
      <c r="E8" s="45">
        <v>17.670000000000002</v>
      </c>
      <c r="F8" s="48">
        <f t="shared" si="0"/>
        <v>0.29049999999999998</v>
      </c>
      <c r="G8" s="48">
        <f t="shared" si="1"/>
        <v>0.29049999999999998</v>
      </c>
      <c r="H8" s="48">
        <f t="shared" si="2"/>
        <v>0.28899999999999998</v>
      </c>
      <c r="I8" s="48">
        <f t="shared" si="3"/>
        <v>0.29533333333333334</v>
      </c>
      <c r="J8" s="48">
        <f t="shared" si="4"/>
        <v>0.29450000000000004</v>
      </c>
      <c r="K8" s="49">
        <f t="shared" si="52"/>
        <v>17.211703958691913</v>
      </c>
      <c r="L8" s="49">
        <f t="shared" si="5"/>
        <v>17.211703958691913</v>
      </c>
      <c r="M8" s="49">
        <f t="shared" si="5"/>
        <v>17.301038062283737</v>
      </c>
      <c r="N8" s="49">
        <f t="shared" si="5"/>
        <v>16.930022573363431</v>
      </c>
      <c r="O8" s="49">
        <f t="shared" si="5"/>
        <v>16.977928692699489</v>
      </c>
      <c r="P8" s="50">
        <f>(100000*K8/1000000)/(8.314*$J$72)</f>
        <v>6.9786191003175561E-4</v>
      </c>
      <c r="Q8" s="50">
        <f>(100000*L8/1000000)/(8.314*$J$72)</f>
        <v>6.9786191003175561E-4</v>
      </c>
      <c r="R8" s="50">
        <f>(100000*M8/1000000)/(8.314*$J$72)</f>
        <v>7.0148403067205869E-4</v>
      </c>
      <c r="S8" s="50">
        <f>(100000*N8/1000000)/(8.314*$J$72)</f>
        <v>6.8644091940482503E-4</v>
      </c>
      <c r="T8" s="50">
        <f>(100000*O8/1000000)/(8.314*$J$72)</f>
        <v>6.8838331023505931E-4</v>
      </c>
      <c r="U8" s="52">
        <f>($H$72-P8)*10^(3)/60/$B$35</f>
        <v>15.393658042380826</v>
      </c>
      <c r="V8" s="52">
        <f>($H$72-Q8)*10^(3)/60/$B$35</f>
        <v>15.393658042380826</v>
      </c>
      <c r="W8" s="52">
        <f>($H$72-R8)*10^(3)/60/$B$35</f>
        <v>15.351865950073188</v>
      </c>
      <c r="X8" s="52">
        <f>($H$72-S8)*10^(3)/60/$B$35</f>
        <v>15.525433635168767</v>
      </c>
      <c r="Y8" s="52">
        <f>($H$72-T8)*10^(3)/60/$B$35</f>
        <v>15.503022295256059</v>
      </c>
      <c r="Z8" s="45">
        <f t="shared" si="6"/>
        <v>6.8005911930421645E-2</v>
      </c>
      <c r="AA8" s="52">
        <f>($H$72-P8)*10^(3)/60/$B$35/$I$69</f>
        <v>1.0571123977731112</v>
      </c>
      <c r="AB8" s="52">
        <f>($H$72-Q8)*10^(3)/60/$B$35/$I$69</f>
        <v>1.0571123977731112</v>
      </c>
      <c r="AC8" s="52">
        <f>($H$72-R8)*10^(3)/60/$B$35/$I$69</f>
        <v>1.0542424536191191</v>
      </c>
      <c r="AD8" s="52">
        <f>($H$72-S8)*10^(3)/60/$B$35/$I$69</f>
        <v>1.0661616836853041</v>
      </c>
      <c r="AE8" s="52">
        <f>($H$72-T8)*10^(3)/60/$B$35/$I$69</f>
        <v>1.0646226534426415</v>
      </c>
      <c r="AF8" s="45">
        <f t="shared" si="7"/>
        <v>4.6700980641243579E-3</v>
      </c>
      <c r="AJ8" s="45">
        <v>12.49</v>
      </c>
      <c r="AK8" s="47">
        <v>12.42</v>
      </c>
      <c r="AL8" s="45">
        <v>12.58</v>
      </c>
      <c r="AM8" s="45">
        <v>12.47</v>
      </c>
      <c r="AN8" s="45">
        <v>12.46</v>
      </c>
      <c r="AO8" s="48">
        <f t="shared" si="8"/>
        <v>0.20816666666666667</v>
      </c>
      <c r="AP8" s="48">
        <f t="shared" si="8"/>
        <v>0.20699999999999999</v>
      </c>
      <c r="AQ8" s="48">
        <f t="shared" si="8"/>
        <v>0.20966666666666667</v>
      </c>
      <c r="AR8" s="48">
        <f t="shared" si="8"/>
        <v>0.20783333333333334</v>
      </c>
      <c r="AS8" s="48">
        <f t="shared" si="8"/>
        <v>0.20766666666666669</v>
      </c>
      <c r="AT8" s="49">
        <f t="shared" si="9"/>
        <v>24.01921537229784</v>
      </c>
      <c r="AU8" s="49">
        <f t="shared" si="10"/>
        <v>24.154589371980677</v>
      </c>
      <c r="AV8" s="49">
        <f t="shared" si="11"/>
        <v>23.847376788553259</v>
      </c>
      <c r="AW8" s="49">
        <f t="shared" si="12"/>
        <v>24.057738572574177</v>
      </c>
      <c r="AX8" s="49">
        <f t="shared" si="13"/>
        <v>24.077046548956659</v>
      </c>
      <c r="AY8" s="50">
        <f>(100660*AT8/1000000)/(8.314*$AS$72)</f>
        <v>9.9472406331606745E-4</v>
      </c>
      <c r="AZ8" s="50">
        <f>(100660*AU8/1000000)/(8.314*$AS$72)</f>
        <v>1.0003303986165606E-3</v>
      </c>
      <c r="BA8" s="50">
        <f>(100660*AV8/1000000)/(8.314*$AS$72)</f>
        <v>9.8760759545450574E-4</v>
      </c>
      <c r="BB8" s="50">
        <f>(100660*AW8/1000000)/(8.314*$AS$72)</f>
        <v>9.9631945074720786E-4</v>
      </c>
      <c r="BC8" s="50">
        <f>(100660*AX8/1000000)/(8.314*$AS$72)</f>
        <v>9.9711906507365011E-4</v>
      </c>
      <c r="BD8" s="52">
        <f>($AQ$72-AY8)*10^(3)/60/$AK$35</f>
        <v>12.534502234685517</v>
      </c>
      <c r="BE8" s="52">
        <f>($AQ$72-AZ8)*10^(3)/60/$AK$35</f>
        <v>12.469816238371997</v>
      </c>
      <c r="BF8" s="52">
        <f>($AQ$72-BA8)*10^(3)/60/$AK$35</f>
        <v>12.616612167321517</v>
      </c>
      <c r="BG8" s="52">
        <f>($AQ$72-BB8)*10^(3)/60/$AK$35</f>
        <v>12.516094626157303</v>
      </c>
      <c r="BH8" s="52">
        <f>($AQ$72-BC8)*10^(3)/60/$AK$35</f>
        <v>12.506868661850826</v>
      </c>
      <c r="BI8" s="45">
        <f t="shared" si="14"/>
        <v>4.8713415427700156E-2</v>
      </c>
      <c r="BJ8" s="52">
        <f>($AQ$72-AY8)*10^(3)/60/$AK$35/$AR$69</f>
        <v>1.0531486468286833</v>
      </c>
      <c r="BK8" s="52">
        <f>($AQ$72-AZ8)*10^(3)/60/$AK$35/$AR$69</f>
        <v>1.0477137306101649</v>
      </c>
      <c r="BL8" s="52">
        <f>($AQ$72-BA8)*10^(3)/60/$AK$35/$AR$69</f>
        <v>1.0600475218560064</v>
      </c>
      <c r="BM8" s="52">
        <f>($AQ$72-BB8)*10^(3)/60/$AK$35/$AR$69</f>
        <v>1.0516020398992756</v>
      </c>
      <c r="BN8" s="52">
        <f>($AQ$72-BC8)*10^(3)/60/$AK$35/$AR$69</f>
        <v>1.0508268745482201</v>
      </c>
      <c r="BO8" s="45">
        <f t="shared" si="15"/>
        <v>4.0929002667629815E-3</v>
      </c>
      <c r="BR8" s="45">
        <v>11.57</v>
      </c>
      <c r="BS8" s="47">
        <v>11.68</v>
      </c>
      <c r="BT8" s="45">
        <v>11.67</v>
      </c>
      <c r="BU8" s="45">
        <v>11.62</v>
      </c>
      <c r="BV8" s="45">
        <v>11.63</v>
      </c>
      <c r="BW8" s="48">
        <f t="shared" si="53"/>
        <v>0.19283333333333333</v>
      </c>
      <c r="BX8" s="48">
        <f t="shared" si="16"/>
        <v>0.19466666666666665</v>
      </c>
      <c r="BY8" s="48">
        <f t="shared" si="17"/>
        <v>0.19450000000000001</v>
      </c>
      <c r="BZ8" s="48">
        <f t="shared" si="18"/>
        <v>0.19366666666666665</v>
      </c>
      <c r="CA8" s="48">
        <f t="shared" si="19"/>
        <v>0.19383333333333336</v>
      </c>
      <c r="CB8" s="49">
        <f t="shared" si="54"/>
        <v>25.92912705272256</v>
      </c>
      <c r="CC8" s="49">
        <f t="shared" si="20"/>
        <v>25.684931506849317</v>
      </c>
      <c r="CD8" s="49">
        <f t="shared" si="21"/>
        <v>25.70694087403599</v>
      </c>
      <c r="CE8" s="49">
        <f t="shared" si="22"/>
        <v>25.817555938037867</v>
      </c>
      <c r="CF8" s="49">
        <f t="shared" si="23"/>
        <v>25.795356835769557</v>
      </c>
      <c r="CG8" s="50">
        <f>(100660*CB8/1000000)/(8.314*$CA$72)</f>
        <v>1.075291770571869E-3</v>
      </c>
      <c r="CH8" s="50">
        <f>(100660*CC8/1000000)/(8.314*$CA$72)</f>
        <v>1.0651648788969628E-3</v>
      </c>
      <c r="CI8" s="50">
        <f>(100660*CD8/1000000)/(8.314*$CA$72)</f>
        <v>1.0660776165823927E-3</v>
      </c>
      <c r="CJ8" s="50">
        <f>(100660*CE8/1000000)/(8.314*$CA$72)</f>
        <v>1.0706648696657938E-3</v>
      </c>
      <c r="CK8" s="50">
        <f>(100660*CF8/1000000)/(8.314*$CA$72)</f>
        <v>1.0697442635869752E-3</v>
      </c>
      <c r="CL8" s="52">
        <f>($BY$72-CG8)*10^(3)/60/$BS$35</f>
        <v>11.686236981530083</v>
      </c>
      <c r="CM8" s="52">
        <f>($BY$72-CH8)*10^(3)/60/$BS$35</f>
        <v>11.803081237615306</v>
      </c>
      <c r="CN8" s="52">
        <f>($BY$72-CI8)*10^(3)/60/$BS$35</f>
        <v>11.792550053982794</v>
      </c>
      <c r="CO8" s="52">
        <f>($BY$72-CJ8)*10^(3)/60/$BS$35</f>
        <v>11.739622246397687</v>
      </c>
      <c r="CP8" s="52">
        <f>($BY$72-CK8)*10^(3)/60/$BS$35</f>
        <v>11.750244215692929</v>
      </c>
      <c r="CQ8" s="45">
        <f t="shared" si="55"/>
        <v>4.1730384789107615E-2</v>
      </c>
      <c r="CR8" s="52">
        <f>($BY$72-CG8)*10^(3)/60/$BS$35/$BZ$69</f>
        <v>1.0460977831519218</v>
      </c>
      <c r="CS8" s="52">
        <f>($BY$72-CH8)*10^(3)/60/$BS$35/$BZ$69</f>
        <v>1.0565571395262594</v>
      </c>
      <c r="CT8" s="52">
        <f>($BY$72-CI8)*10^(3)/60/$BS$35/$BZ$69</f>
        <v>1.05561443676665</v>
      </c>
      <c r="CU8" s="52">
        <f>($BY$72-CJ8)*10^(3)/60/$BS$35/$BZ$69</f>
        <v>1.0508765846873727</v>
      </c>
      <c r="CV8" s="52">
        <f>($BY$72-CK8)*10^(3)/60/$BS$35/$BZ$69</f>
        <v>1.0518274141588289</v>
      </c>
      <c r="CW8" s="45">
        <f t="shared" si="24"/>
        <v>3.7355106769575448E-3</v>
      </c>
      <c r="DA8" s="45">
        <v>6.72</v>
      </c>
      <c r="DB8" s="47">
        <v>6.72</v>
      </c>
      <c r="DC8" s="45">
        <v>6.77</v>
      </c>
      <c r="DD8" s="45">
        <v>6.71</v>
      </c>
      <c r="DE8" s="45">
        <v>6.73</v>
      </c>
      <c r="DF8" s="48">
        <f t="shared" si="56"/>
        <v>0.112</v>
      </c>
      <c r="DG8" s="48">
        <f t="shared" si="25"/>
        <v>0.112</v>
      </c>
      <c r="DH8" s="48">
        <f t="shared" si="26"/>
        <v>0.11283333333333333</v>
      </c>
      <c r="DI8" s="48">
        <f t="shared" si="27"/>
        <v>0.11183333333333333</v>
      </c>
      <c r="DJ8" s="48">
        <f t="shared" si="28"/>
        <v>0.11216666666666668</v>
      </c>
      <c r="DK8" s="49">
        <f t="shared" si="57"/>
        <v>44.642857142857139</v>
      </c>
      <c r="DL8" s="49">
        <f t="shared" si="29"/>
        <v>44.642857142857139</v>
      </c>
      <c r="DM8" s="49">
        <f t="shared" si="30"/>
        <v>44.313146233382575</v>
      </c>
      <c r="DN8" s="49">
        <f t="shared" si="31"/>
        <v>44.709388971684056</v>
      </c>
      <c r="DO8" s="49">
        <f t="shared" si="32"/>
        <v>44.576523031203564</v>
      </c>
      <c r="DP8" s="50">
        <f>(100660*DK8/1000000)/(8.314*$DJ$72)</f>
        <v>1.8146851408714587E-3</v>
      </c>
      <c r="DQ8" s="50">
        <f>(100660*DL8/1000000)/(8.314*$DJ$72)</f>
        <v>1.8146851408714587E-3</v>
      </c>
      <c r="DR8" s="50">
        <f>(100660*DM8/1000000)/(8.314*$DJ$72)</f>
        <v>1.8012827395356282E-3</v>
      </c>
      <c r="DS8" s="50">
        <f>(100660*DN8/1000000)/(8.314*$DJ$72)</f>
        <v>1.8173895896656039E-3</v>
      </c>
      <c r="DT8" s="50">
        <f>(100660*DO8/1000000)/(8.314*$DJ$72)</f>
        <v>1.811988729072244E-3</v>
      </c>
      <c r="DU8" s="52">
        <f>($DH$72-DP8)*10^(3)/60/$DB$35</f>
        <v>2.8294418107694308</v>
      </c>
      <c r="DV8" s="52">
        <f>($DH$72-DQ8)*10^(3)/60/$DB$35</f>
        <v>2.8294418107694308</v>
      </c>
      <c r="DW8" s="52">
        <f>($DH$72-DR8)*10^(3)/60/$DB$35</f>
        <v>2.9840789555234459</v>
      </c>
      <c r="DX8" s="52">
        <f>($DH$72-DS8)*10^(3)/60/$DB$35</f>
        <v>2.7982378325284576</v>
      </c>
      <c r="DY8" s="52">
        <f>($DH$72-DT8)*10^(3)/60/$DB$35</f>
        <v>2.8605530580200909</v>
      </c>
      <c r="DZ8" s="45">
        <f t="shared" si="58"/>
        <v>6.492680391966911E-2</v>
      </c>
      <c r="EA8" s="52">
        <f>($DH$72-DP8)*10^(3)/60/$DB$35/$DI$69</f>
        <v>1.0423791138076861</v>
      </c>
      <c r="EB8" s="52">
        <f>($DH$72-DQ8)*10^(3)/60/$DB$35/$DI$69</f>
        <v>1.0423791138076861</v>
      </c>
      <c r="EC8" s="52">
        <f>($DH$72-DR8)*10^(3)/60/$DB$35/$DI$69</f>
        <v>1.0993481347986522</v>
      </c>
      <c r="ED8" s="52">
        <f>($DH$72-DS8)*10^(3)/60/$DB$35/$DI$69</f>
        <v>1.0308834276047403</v>
      </c>
      <c r="EE8" s="52">
        <f>($DH$72-DT8)*10^(3)/60/$DB$35/$DI$69</f>
        <v>1.0538406374959135</v>
      </c>
      <c r="EF8" s="45">
        <f t="shared" si="33"/>
        <v>2.3919327152992682E-2</v>
      </c>
      <c r="EI8" s="45">
        <v>6.06</v>
      </c>
      <c r="EJ8" s="47">
        <v>6.09</v>
      </c>
      <c r="EK8" s="45">
        <v>6.09</v>
      </c>
      <c r="EL8" s="45">
        <v>6.12</v>
      </c>
      <c r="EM8" s="45">
        <v>6.05</v>
      </c>
      <c r="EN8" s="48">
        <f t="shared" si="59"/>
        <v>0.10099999999999999</v>
      </c>
      <c r="EO8" s="48">
        <f t="shared" si="34"/>
        <v>0.10149999999999999</v>
      </c>
      <c r="EP8" s="48">
        <f t="shared" si="35"/>
        <v>0.10149999999999999</v>
      </c>
      <c r="EQ8" s="48">
        <f t="shared" si="36"/>
        <v>0.10200000000000001</v>
      </c>
      <c r="ER8" s="48">
        <f t="shared" si="37"/>
        <v>0.10083333333333333</v>
      </c>
      <c r="ES8" s="49">
        <f t="shared" si="60"/>
        <v>49.504950495049506</v>
      </c>
      <c r="ET8" s="49">
        <f t="shared" si="38"/>
        <v>49.26108374384237</v>
      </c>
      <c r="EU8" s="49">
        <f t="shared" si="39"/>
        <v>49.26108374384237</v>
      </c>
      <c r="EV8" s="49">
        <f t="shared" si="40"/>
        <v>49.019607843137251</v>
      </c>
      <c r="EW8" s="49">
        <f t="shared" si="41"/>
        <v>49.586776859504134</v>
      </c>
      <c r="EX8" s="50">
        <f>(100000*ES8/1000000)/(8.314*$ER$72)</f>
        <v>1.9971183252158057E-3</v>
      </c>
      <c r="EY8" s="50">
        <f>(100000*ET8/1000000)/(8.314*$ER$72)</f>
        <v>1.9872803039093245E-3</v>
      </c>
      <c r="EZ8" s="50">
        <f>(100000*EU8/1000000)/(8.314*$ER$72)</f>
        <v>1.9872803039093245E-3</v>
      </c>
      <c r="FA8" s="50">
        <f>(100000*EV8/1000000)/(8.314*$ER$72)</f>
        <v>1.9775387337921213E-3</v>
      </c>
      <c r="FB8" s="50">
        <f>(100000*EW8/1000000)/(8.314*$ER$72)</f>
        <v>2.0004193472409558E-3</v>
      </c>
      <c r="FC8" s="52">
        <f>($EP$72-EX8)*10^(3)/60/$EJ$35</f>
        <v>0.52900388153671141</v>
      </c>
      <c r="FD8" s="52">
        <f>($EP$72-EY8)*10^(3)/60/$EJ$35</f>
        <v>0.64251514617823868</v>
      </c>
      <c r="FE8" s="52">
        <f>($EP$72-EZ8)*10^(3)/60/$EJ$35</f>
        <v>0.64251514617823868</v>
      </c>
      <c r="FF8" s="52">
        <f>($EP$72-FA8)*10^(3)/60/$EJ$35</f>
        <v>0.75491355528407922</v>
      </c>
      <c r="FG8" s="52">
        <f>($EP$72-FB8)*10^(3)/60/$EJ$35</f>
        <v>0.49091663075616226</v>
      </c>
      <c r="FH8" s="45">
        <f t="shared" si="61"/>
        <v>9.3633505631542283E-2</v>
      </c>
      <c r="FI8" s="52">
        <f>($EP$72-EX8)*10^(3)/60/$EJ$35/$EQ$69</f>
        <v>1.1243321994318887</v>
      </c>
      <c r="FJ8" s="52">
        <f>($EP$72-EY8)*10^(3)/60/$EJ$35/$EQ$69</f>
        <v>1.3655863268382238</v>
      </c>
      <c r="FK8" s="52">
        <f>($EP$72-EZ8)*10^(3)/60/$EJ$35/$EQ$69</f>
        <v>1.3655863268382238</v>
      </c>
      <c r="FL8" s="52">
        <f>($EP$72-FA8)*10^(3)/60/$EJ$35/$EQ$69</f>
        <v>1.6044752177013903</v>
      </c>
      <c r="FM8" s="52">
        <f>($EP$72-FB8)*10^(3)/60/$EJ$35/$EQ$69</f>
        <v>1.043382467426119</v>
      </c>
      <c r="FN8" s="45">
        <f t="shared" si="42"/>
        <v>0.19900641375525585</v>
      </c>
      <c r="FQ8" s="45">
        <v>5.97</v>
      </c>
      <c r="FR8" s="47">
        <v>6.06</v>
      </c>
      <c r="FS8" s="45">
        <v>6.12</v>
      </c>
      <c r="FT8" s="45">
        <v>6</v>
      </c>
      <c r="FU8" s="45">
        <v>6.06</v>
      </c>
      <c r="FV8" s="48">
        <f t="shared" si="62"/>
        <v>9.9499999999999991E-2</v>
      </c>
      <c r="FW8" s="48">
        <f t="shared" si="43"/>
        <v>0.10099999999999999</v>
      </c>
      <c r="FX8" s="48">
        <f t="shared" si="44"/>
        <v>0.10200000000000001</v>
      </c>
      <c r="FY8" s="48">
        <f t="shared" si="45"/>
        <v>0.1</v>
      </c>
      <c r="FZ8" s="48">
        <f t="shared" si="46"/>
        <v>0.10099999999999999</v>
      </c>
      <c r="GA8" s="49">
        <f t="shared" si="63"/>
        <v>50.251256281407038</v>
      </c>
      <c r="GB8" s="49">
        <f t="shared" si="47"/>
        <v>49.504950495049506</v>
      </c>
      <c r="GC8" s="49">
        <f t="shared" si="48"/>
        <v>49.019607843137251</v>
      </c>
      <c r="GD8" s="49">
        <f t="shared" si="49"/>
        <v>50</v>
      </c>
      <c r="GE8" s="49">
        <f t="shared" si="50"/>
        <v>49.504950495049506</v>
      </c>
      <c r="GF8" s="50">
        <f>(100000*GA8/1000000)/(8.314*$FZ$72)</f>
        <v>2.0292674956104125E-3</v>
      </c>
      <c r="GG8" s="50">
        <f>(100000*GB8/1000000)/(8.314*$FZ$72)</f>
        <v>1.9991298595369903E-3</v>
      </c>
      <c r="GH8" s="50">
        <f>(100000*GC8/1000000)/(8.314*$FZ$72)</f>
        <v>1.979530547188588E-3</v>
      </c>
      <c r="GI8" s="50">
        <f>(100000*GD8/1000000)/(8.314*$FZ$72)</f>
        <v>2.0191211581323601E-3</v>
      </c>
      <c r="GJ8" s="50">
        <f>(100000*GE8/1000000)/(8.314*$FZ$72)</f>
        <v>1.9991298595369903E-3</v>
      </c>
      <c r="GK8" s="52">
        <f>($FX$72-GF8)*10^(3)/60/$FR$35</f>
        <v>0.17119146089951282</v>
      </c>
      <c r="GL8" s="52">
        <f>($FX$72-GG8)*10^(3)/60/$FR$35</f>
        <v>0.51892004141667203</v>
      </c>
      <c r="GM8" s="52">
        <f>($FX$72-GH8)*10^(3)/60/$FR$35</f>
        <v>0.74505725554384727</v>
      </c>
      <c r="GN8" s="52">
        <f>($FX$72-GI8)*10^(3)/60/$FR$35</f>
        <v>0.28826008300695932</v>
      </c>
      <c r="GO8" s="52">
        <f>($FX$72-GJ8)*10^(3)/60/$FR$35</f>
        <v>0.51892004141667203</v>
      </c>
      <c r="GP8" s="45">
        <f t="shared" si="64"/>
        <v>0.20022038985608878</v>
      </c>
      <c r="GQ8" s="52">
        <f>($FX$72-GF8)*10^(3)/60/$FR$35/$FY$69</f>
        <v>0.73747265790083716</v>
      </c>
      <c r="GR8" s="52">
        <f>($FX$72-GG8)*10^(3)/60/$FR$35/$FY$69</f>
        <v>2.2354464420757489</v>
      </c>
      <c r="GS8" s="52">
        <f>($FX$72-GH8)*10^(3)/60/$FR$35/$FY$69</f>
        <v>3.2096189357058522</v>
      </c>
      <c r="GT8" s="52">
        <f>($FX$72-GI8)*10^(3)/60/$FR$35/$FY$69</f>
        <v>1.2417904985730701</v>
      </c>
      <c r="GU8" s="52">
        <f>($FX$72-GJ8)*10^(3)/60/$FR$35/$FY$69</f>
        <v>2.2354464420757489</v>
      </c>
      <c r="GV8" s="45">
        <f t="shared" si="51"/>
        <v>0.86252586605230497</v>
      </c>
    </row>
    <row r="9" spans="1:204" x14ac:dyDescent="0.3">
      <c r="A9" s="45">
        <v>17.7</v>
      </c>
      <c r="B9" s="47">
        <v>18.239999999999998</v>
      </c>
      <c r="C9" s="45">
        <v>18.489999999999998</v>
      </c>
      <c r="D9" s="45">
        <v>18.64</v>
      </c>
      <c r="E9" s="45">
        <v>18.989999999999998</v>
      </c>
      <c r="F9" s="48">
        <f t="shared" si="0"/>
        <v>0.29499999999999998</v>
      </c>
      <c r="G9" s="48">
        <f t="shared" si="1"/>
        <v>0.30399999999999999</v>
      </c>
      <c r="H9" s="48">
        <f t="shared" si="2"/>
        <v>0.30816666666666664</v>
      </c>
      <c r="I9" s="48">
        <f t="shared" si="3"/>
        <v>0.3106666666666667</v>
      </c>
      <c r="J9" s="48">
        <f t="shared" si="4"/>
        <v>0.31649999999999995</v>
      </c>
      <c r="K9" s="49">
        <f t="shared" si="52"/>
        <v>16.949152542372882</v>
      </c>
      <c r="L9" s="49">
        <f t="shared" si="5"/>
        <v>16.447368421052634</v>
      </c>
      <c r="M9" s="49">
        <f t="shared" si="5"/>
        <v>16.224986479177936</v>
      </c>
      <c r="N9" s="49">
        <f t="shared" si="5"/>
        <v>16.094420600858367</v>
      </c>
      <c r="O9" s="49">
        <f t="shared" si="5"/>
        <v>15.797788309636653</v>
      </c>
      <c r="P9" s="50">
        <f>(100000*K9/1000000)/(8.314*$J$73)</f>
        <v>6.8652228384019837E-4</v>
      </c>
      <c r="Q9" s="50">
        <f>(100000*L9/1000000)/(8.314*$J$73)</f>
        <v>6.6619761096335043E-4</v>
      </c>
      <c r="R9" s="50">
        <f>(100000*M9/1000000)/(8.314*$J$73)</f>
        <v>6.5719007160473298E-4</v>
      </c>
      <c r="S9" s="50">
        <f>(100000*N9/1000000)/(8.314*$J$73)</f>
        <v>6.5190152489117553E-4</v>
      </c>
      <c r="T9" s="50">
        <f>(100000*O9/1000000)/(8.314*$J$73)</f>
        <v>6.3988648888738879E-4</v>
      </c>
      <c r="U9" s="52">
        <f>($H$73-P9)*10^(3)/60/$B$35</f>
        <v>15.500808437841608</v>
      </c>
      <c r="V9" s="52">
        <f>($H$73-Q9)*10^(3)/60/$B$35</f>
        <v>15.735314874634591</v>
      </c>
      <c r="W9" s="52">
        <f>($H$73-R9)*10^(3)/60/$B$35</f>
        <v>15.839244023805209</v>
      </c>
      <c r="X9" s="52">
        <f>($H$73-S9)*10^(3)/60/$B$35</f>
        <v>15.900263369756031</v>
      </c>
      <c r="Y9" s="52">
        <f>($H$73-T9)*10^(3)/60/$B$35</f>
        <v>16.038893068657458</v>
      </c>
      <c r="Z9" s="45">
        <f t="shared" si="6"/>
        <v>0.18017785839324194</v>
      </c>
      <c r="AA9" s="52">
        <f>($H$73-P9)*10^(3)/60/$B$35/$I$69</f>
        <v>1.0644706235538863</v>
      </c>
      <c r="AB9" s="52">
        <f>($H$73-Q9)*10^(3)/60/$B$35/$I$69</f>
        <v>1.0805746360640356</v>
      </c>
      <c r="AC9" s="52">
        <f>($H$73-R9)*10^(3)/60/$B$35/$I$69</f>
        <v>1.0877116526052499</v>
      </c>
      <c r="AD9" s="52">
        <f>($H$73-S9)*10^(3)/60/$B$35/$I$69</f>
        <v>1.0919019696131393</v>
      </c>
      <c r="AE9" s="52">
        <f>($H$73-T9)*10^(3)/60/$B$35/$I$69</f>
        <v>1.1014219403052767</v>
      </c>
      <c r="AF9" s="45">
        <f t="shared" si="7"/>
        <v>1.2373163505861887E-2</v>
      </c>
      <c r="AJ9" s="45">
        <v>12.53</v>
      </c>
      <c r="AK9" s="47">
        <v>12.53</v>
      </c>
      <c r="AL9" s="45">
        <v>12.56</v>
      </c>
      <c r="AM9" s="45">
        <v>12.62</v>
      </c>
      <c r="AN9" s="45">
        <v>12.62</v>
      </c>
      <c r="AO9" s="48">
        <f t="shared" si="8"/>
        <v>0.20883333333333332</v>
      </c>
      <c r="AP9" s="48">
        <f t="shared" si="8"/>
        <v>0.20883333333333332</v>
      </c>
      <c r="AQ9" s="48">
        <f t="shared" si="8"/>
        <v>0.20933333333333334</v>
      </c>
      <c r="AR9" s="48">
        <f t="shared" si="8"/>
        <v>0.21033333333333332</v>
      </c>
      <c r="AS9" s="48">
        <f t="shared" si="8"/>
        <v>0.21033333333333332</v>
      </c>
      <c r="AT9" s="49">
        <f t="shared" si="9"/>
        <v>23.942537909018359</v>
      </c>
      <c r="AU9" s="49">
        <f t="shared" si="10"/>
        <v>23.942537909018359</v>
      </c>
      <c r="AV9" s="49">
        <f t="shared" si="11"/>
        <v>23.885350318471335</v>
      </c>
      <c r="AW9" s="49">
        <f t="shared" si="12"/>
        <v>23.77179080824089</v>
      </c>
      <c r="AX9" s="49">
        <f t="shared" si="13"/>
        <v>23.77179080824089</v>
      </c>
      <c r="AY9" s="50">
        <f>(100660*AT9/1000000)/(8.314*$AS$73)</f>
        <v>9.9087070145144731E-4</v>
      </c>
      <c r="AZ9" s="50">
        <f>(100660*AU9/1000000)/(8.314*$AS$73)</f>
        <v>9.9087070145144731E-4</v>
      </c>
      <c r="BA9" s="50">
        <f>(100660*AV9/1000000)/(8.314*$AS$73)</f>
        <v>9.8850397206899925E-4</v>
      </c>
      <c r="BB9" s="50">
        <f>(100660*AW9/1000000)/(8.314*$AS$73)</f>
        <v>9.8380427014157167E-4</v>
      </c>
      <c r="BC9" s="50">
        <f>(100660*AX9/1000000)/(8.314*$AS$73)</f>
        <v>9.8380427014157167E-4</v>
      </c>
      <c r="BD9" s="52">
        <f>($AQ$73-AY9)*10^(3)/60/$AK$35</f>
        <v>12.562546978810616</v>
      </c>
      <c r="BE9" s="52">
        <f>($AQ$73-AZ9)*10^(3)/60/$AK$35</f>
        <v>12.562546978810616</v>
      </c>
      <c r="BF9" s="52">
        <f>($AQ$73-BA9)*10^(3)/60/$AK$35</f>
        <v>12.589854344478644</v>
      </c>
      <c r="BG9" s="52">
        <f>($AQ$73-BB9)*10^(3)/60/$AK$35</f>
        <v>12.644079588824178</v>
      </c>
      <c r="BH9" s="52">
        <f>($AQ$73-BC9)*10^(3)/60/$AK$35</f>
        <v>12.644079588824178</v>
      </c>
      <c r="BI9" s="45">
        <f t="shared" si="14"/>
        <v>3.6857783259775852E-2</v>
      </c>
      <c r="BJ9" s="52">
        <f>($AQ$73-AY9)*10^(3)/60/$AK$35/$AR$69</f>
        <v>1.0555049657133913</v>
      </c>
      <c r="BK9" s="52">
        <f>($AQ$73-AZ9)*10^(3)/60/$AK$35/$AR$69</f>
        <v>1.0555049657133913</v>
      </c>
      <c r="BL9" s="52">
        <f>($AQ$73-BA9)*10^(3)/60/$AK$35/$AR$69</f>
        <v>1.0577993300737214</v>
      </c>
      <c r="BM9" s="52">
        <f>($AQ$73-BB9)*10^(3)/60/$AK$35/$AR$69</f>
        <v>1.0623553341046137</v>
      </c>
      <c r="BN9" s="52">
        <f>($AQ$73-BC9)*10^(3)/60/$AK$35/$AR$69</f>
        <v>1.0623553341046137</v>
      </c>
      <c r="BO9" s="45">
        <f t="shared" si="15"/>
        <v>3.0967902704365242E-3</v>
      </c>
      <c r="BR9" s="45">
        <v>12.03</v>
      </c>
      <c r="BS9" s="47">
        <v>11.93</v>
      </c>
      <c r="BT9" s="45">
        <v>11.91</v>
      </c>
      <c r="BU9" s="45">
        <v>12.12</v>
      </c>
      <c r="BV9" s="45">
        <v>12.12</v>
      </c>
      <c r="BW9" s="48">
        <f t="shared" si="53"/>
        <v>0.20049999999999998</v>
      </c>
      <c r="BX9" s="48">
        <f t="shared" si="16"/>
        <v>0.19883333333333333</v>
      </c>
      <c r="BY9" s="48">
        <f t="shared" si="17"/>
        <v>0.19850000000000001</v>
      </c>
      <c r="BZ9" s="48">
        <f t="shared" si="18"/>
        <v>0.20199999999999999</v>
      </c>
      <c r="CA9" s="48">
        <f t="shared" si="19"/>
        <v>0.20199999999999999</v>
      </c>
      <c r="CB9" s="49">
        <f t="shared" si="54"/>
        <v>24.937655860349128</v>
      </c>
      <c r="CC9" s="49">
        <f t="shared" si="20"/>
        <v>25.14668901927913</v>
      </c>
      <c r="CD9" s="49">
        <f t="shared" si="21"/>
        <v>25.188916876574307</v>
      </c>
      <c r="CE9" s="49">
        <f t="shared" si="22"/>
        <v>24.752475247524753</v>
      </c>
      <c r="CF9" s="49">
        <f t="shared" si="23"/>
        <v>24.752475247524753</v>
      </c>
      <c r="CG9" s="50">
        <f>(100660*CB9/1000000)/(8.314*$CA$73)</f>
        <v>1.0338209356143824E-3</v>
      </c>
      <c r="CH9" s="50">
        <f>(100660*CC9/1000000)/(8.314*$CA$73)</f>
        <v>1.042486660137554E-3</v>
      </c>
      <c r="CI9" s="50">
        <f>(100660*CD9/1000000)/(8.314*$CA$73)</f>
        <v>1.0442372674593634E-3</v>
      </c>
      <c r="CJ9" s="50">
        <f>(100660*CE9/1000000)/(8.314*$CA$73)</f>
        <v>1.026144047478632E-3</v>
      </c>
      <c r="CK9" s="50">
        <f>(100660*CF9/1000000)/(8.314*$CA$73)</f>
        <v>1.026144047478632E-3</v>
      </c>
      <c r="CL9" s="52">
        <f>($BY$73-CG9)*10^(3)/60/$BS$35</f>
        <v>12.156478606757689</v>
      </c>
      <c r="CM9" s="52">
        <f>($BY$73-CH9)*10^(3)/60/$BS$35</f>
        <v>12.056493323231999</v>
      </c>
      <c r="CN9" s="52">
        <f>($BY$73-CI9)*10^(3)/60/$BS$35</f>
        <v>12.036294784847213</v>
      </c>
      <c r="CO9" s="52">
        <f>($BY$73-CJ9)*10^(3)/60/$BS$35</f>
        <v>12.245054678475126</v>
      </c>
      <c r="CP9" s="52">
        <f>($BY$73-CK9)*10^(3)/60/$BS$35</f>
        <v>12.245054678475126</v>
      </c>
      <c r="CQ9" s="45">
        <f t="shared" si="55"/>
        <v>8.9176854764611194E-2</v>
      </c>
      <c r="CR9" s="52">
        <f>($BY$73-CG9)*10^(3)/60/$BS$35/$BZ$69</f>
        <v>1.0881916344467248</v>
      </c>
      <c r="CS9" s="52">
        <f>($BY$73-CH9)*10^(3)/60/$BS$35/$BZ$69</f>
        <v>1.0792414151751706</v>
      </c>
      <c r="CT9" s="52">
        <f>($BY$73-CI9)*10^(3)/60/$BS$35/$BZ$69</f>
        <v>1.0774333356145191</v>
      </c>
      <c r="CU9" s="52">
        <f>($BY$73-CJ9)*10^(3)/60/$BS$35/$BZ$69</f>
        <v>1.0961205539449657</v>
      </c>
      <c r="CV9" s="52">
        <f>($BY$73-CK9)*10^(3)/60/$BS$35/$BZ$69</f>
        <v>1.0961205539449657</v>
      </c>
      <c r="CW9" s="45">
        <f t="shared" si="24"/>
        <v>7.9826988127281936E-3</v>
      </c>
      <c r="DA9" s="45">
        <v>6.74</v>
      </c>
      <c r="DB9" s="47">
        <v>6.88</v>
      </c>
      <c r="DC9" s="45">
        <v>6.81</v>
      </c>
      <c r="DD9" s="45">
        <v>6.7</v>
      </c>
      <c r="DE9" s="45">
        <v>6.72</v>
      </c>
      <c r="DF9" s="48">
        <f t="shared" si="56"/>
        <v>0.11233333333333334</v>
      </c>
      <c r="DG9" s="48">
        <f t="shared" si="25"/>
        <v>0.11466666666666667</v>
      </c>
      <c r="DH9" s="48">
        <f t="shared" si="26"/>
        <v>0.11349999999999999</v>
      </c>
      <c r="DI9" s="48">
        <f t="shared" si="27"/>
        <v>0.11166666666666666</v>
      </c>
      <c r="DJ9" s="48">
        <f t="shared" si="28"/>
        <v>0.112</v>
      </c>
      <c r="DK9" s="49">
        <f t="shared" si="57"/>
        <v>44.510385756676556</v>
      </c>
      <c r="DL9" s="49">
        <f t="shared" si="29"/>
        <v>43.604651162790695</v>
      </c>
      <c r="DM9" s="49">
        <f t="shared" si="30"/>
        <v>44.052863436123353</v>
      </c>
      <c r="DN9" s="49">
        <f t="shared" si="31"/>
        <v>44.776119402985074</v>
      </c>
      <c r="DO9" s="49">
        <f t="shared" si="32"/>
        <v>44.642857142857139</v>
      </c>
      <c r="DP9" s="50">
        <f>(100660*DK9/1000000)/(8.314*$DJ$73)</f>
        <v>1.8026429164199073E-3</v>
      </c>
      <c r="DQ9" s="50">
        <f>(100660*DL9/1000000)/(8.314*$DJ$73)</f>
        <v>1.7659612291671767E-3</v>
      </c>
      <c r="DR9" s="50">
        <f>(100660*DM9/1000000)/(8.314*$DJ$73)</f>
        <v>1.7841135472349747E-3</v>
      </c>
      <c r="DS9" s="50">
        <f>(100660*DN9/1000000)/(8.314*$DJ$73)</f>
        <v>1.8134049636821159E-3</v>
      </c>
      <c r="DT9" s="50">
        <f>(100660*DO9/1000000)/(8.314*$DJ$73)</f>
        <v>1.8080079250997287E-3</v>
      </c>
      <c r="DU9" s="52">
        <f>($DH$73-DP9)*10^(3)/60/$DB$35</f>
        <v>2.8809323175674266</v>
      </c>
      <c r="DV9" s="52">
        <f>($DH$73-DQ9)*10^(3)/60/$DB$35</f>
        <v>3.3041662768697302</v>
      </c>
      <c r="DW9" s="52">
        <f>($DH$73-DR9)*10^(3)/60/$DB$35</f>
        <v>3.0947245084631527</v>
      </c>
      <c r="DX9" s="52">
        <f>($DH$73-DS9)*10^(3)/60/$DB$35</f>
        <v>2.7567596250301176</v>
      </c>
      <c r="DY9" s="52">
        <f>($DH$73-DT9)*10^(3)/60/$DB$35</f>
        <v>2.8190307520912361</v>
      </c>
      <c r="DZ9" s="45">
        <f t="shared" si="58"/>
        <v>0.20169939254351021</v>
      </c>
      <c r="EA9" s="52">
        <f>($DH$73-DP9)*10^(3)/60/$DB$35/$DI$69</f>
        <v>1.0613484485511377</v>
      </c>
      <c r="EB9" s="52">
        <f>($DH$73-DQ9)*10^(3)/60/$DB$35/$DI$69</f>
        <v>1.2172697464381168</v>
      </c>
      <c r="EC9" s="52">
        <f>($DH$73-DR9)*10^(3)/60/$DB$35/$DI$69</f>
        <v>1.1401104551195955</v>
      </c>
      <c r="ED9" s="52">
        <f>($DH$73-DS9)*10^(3)/60/$DB$35/$DI$69</f>
        <v>1.015602669043145</v>
      </c>
      <c r="EE9" s="52">
        <f>($DH$73-DT9)*10^(3)/60/$DB$35/$DI$69</f>
        <v>1.0385436328737894</v>
      </c>
      <c r="EF9" s="45">
        <f t="shared" si="33"/>
        <v>7.4306965159986374E-2</v>
      </c>
      <c r="EI9" s="45">
        <v>6.1</v>
      </c>
      <c r="EJ9" s="47">
        <v>6.09</v>
      </c>
      <c r="EK9" s="45">
        <v>6.12</v>
      </c>
      <c r="EL9" s="45">
        <v>6.03</v>
      </c>
      <c r="EM9" s="45">
        <v>6.1</v>
      </c>
      <c r="EN9" s="48">
        <f t="shared" si="59"/>
        <v>0.10166666666666666</v>
      </c>
      <c r="EO9" s="48">
        <f t="shared" si="34"/>
        <v>0.10149999999999999</v>
      </c>
      <c r="EP9" s="48">
        <f t="shared" si="35"/>
        <v>0.10200000000000001</v>
      </c>
      <c r="EQ9" s="48">
        <f t="shared" si="36"/>
        <v>0.10050000000000001</v>
      </c>
      <c r="ER9" s="48">
        <f t="shared" si="37"/>
        <v>0.10166666666666666</v>
      </c>
      <c r="ES9" s="49">
        <f t="shared" si="60"/>
        <v>49.180327868852466</v>
      </c>
      <c r="ET9" s="49">
        <f t="shared" si="38"/>
        <v>49.26108374384237</v>
      </c>
      <c r="EU9" s="49">
        <f t="shared" si="39"/>
        <v>49.019607843137251</v>
      </c>
      <c r="EV9" s="49">
        <f t="shared" si="40"/>
        <v>49.751243781094523</v>
      </c>
      <c r="EW9" s="49">
        <f t="shared" si="41"/>
        <v>49.180327868852466</v>
      </c>
      <c r="EX9" s="50">
        <f>(100000*ES9/1000000)/(8.314*$ER$73)</f>
        <v>1.9800378197123757E-3</v>
      </c>
      <c r="EY9" s="50">
        <f>(100000*ET9/1000000)/(8.314*$ER$73)</f>
        <v>1.9832891133408034E-3</v>
      </c>
      <c r="EZ9" s="50">
        <f>(100000*EU9/1000000)/(8.314*$ER$73)</f>
        <v>1.9735671078832499E-3</v>
      </c>
      <c r="FA9" s="50">
        <f>(100000*EV9/1000000)/(8.314*$ER$73)</f>
        <v>2.0030233333740446E-3</v>
      </c>
      <c r="FB9" s="50">
        <f>(100000*EW9/1000000)/(8.314*$ER$73)</f>
        <v>1.9800378197123757E-3</v>
      </c>
      <c r="FC9" s="52">
        <f>($EP$73-EX9)*10^(3)/60/$EJ$35</f>
        <v>0.6787382228456631</v>
      </c>
      <c r="FD9" s="52">
        <f>($EP$73-EY9)*10^(3)/60/$EJ$35</f>
        <v>0.6412247391900997</v>
      </c>
      <c r="FE9" s="52">
        <f>($EP$73-EZ9)*10^(3)/60/$EJ$35</f>
        <v>0.7533974109052658</v>
      </c>
      <c r="FF9" s="52">
        <f>($EP$73-FA9)*10^(3)/60/$EJ$35</f>
        <v>0.41353095779813959</v>
      </c>
      <c r="FG9" s="52">
        <f>($EP$73-FB9)*10^(3)/60/$EJ$35</f>
        <v>0.6787382228456631</v>
      </c>
      <c r="FH9" s="45">
        <f t="shared" si="61"/>
        <v>0.11568382269189978</v>
      </c>
      <c r="FI9" s="52">
        <f>($EP$73-EX9)*10^(3)/60/$EJ$35/$EQ$69</f>
        <v>1.4425739877630688</v>
      </c>
      <c r="FJ9" s="52">
        <f>($EP$73-EY9)*10^(3)/60/$EJ$35/$EQ$69</f>
        <v>1.3628437266839073</v>
      </c>
      <c r="FK9" s="52">
        <f>($EP$73-EZ9)*10^(3)/60/$EJ$35/$EQ$69</f>
        <v>1.6012528406951276</v>
      </c>
      <c r="FL9" s="52">
        <f>($EP$73-FA9)*10^(3)/60/$EJ$35/$EQ$69</f>
        <v>0.8789088086910225</v>
      </c>
      <c r="FM9" s="52">
        <f>($EP$73-FB9)*10^(3)/60/$EJ$35/$EQ$69</f>
        <v>1.4425739877630688</v>
      </c>
      <c r="FN9" s="45">
        <f t="shared" si="42"/>
        <v>0.24587163033291634</v>
      </c>
      <c r="FQ9" s="45">
        <v>5.96</v>
      </c>
      <c r="FR9" s="47">
        <v>5.94</v>
      </c>
      <c r="FS9" s="45">
        <v>6.07</v>
      </c>
      <c r="FT9" s="45">
        <v>6.12</v>
      </c>
      <c r="FU9" s="45">
        <v>6.03</v>
      </c>
      <c r="FV9" s="48">
        <f t="shared" si="62"/>
        <v>9.9333333333333329E-2</v>
      </c>
      <c r="FW9" s="48">
        <f t="shared" si="43"/>
        <v>9.9000000000000005E-2</v>
      </c>
      <c r="FX9" s="48">
        <f t="shared" si="44"/>
        <v>0.10116666666666667</v>
      </c>
      <c r="FY9" s="48">
        <f t="shared" si="45"/>
        <v>0.10200000000000001</v>
      </c>
      <c r="FZ9" s="48">
        <f t="shared" si="46"/>
        <v>0.10050000000000001</v>
      </c>
      <c r="GA9" s="49">
        <f t="shared" si="63"/>
        <v>50.335570469798661</v>
      </c>
      <c r="GB9" s="49">
        <f t="shared" si="47"/>
        <v>50.505050505050505</v>
      </c>
      <c r="GC9" s="49">
        <f t="shared" si="48"/>
        <v>49.423393739703457</v>
      </c>
      <c r="GD9" s="49">
        <f t="shared" si="49"/>
        <v>49.019607843137251</v>
      </c>
      <c r="GE9" s="49">
        <f t="shared" si="50"/>
        <v>49.751243781094523</v>
      </c>
      <c r="GF9" s="50">
        <f>(100000*GA9/1000000)/(8.314*$FZ$73)</f>
        <v>2.0292657837897815E-3</v>
      </c>
      <c r="GG9" s="50">
        <f>(100000*GB9/1000000)/(8.314*$FZ$73)</f>
        <v>2.0360983285163461E-3</v>
      </c>
      <c r="GH9" s="50">
        <f>(100000*GC9/1000000)/(8.314*$FZ$73)</f>
        <v>1.992491609783706E-3</v>
      </c>
      <c r="GI9" s="50">
        <f>(100000*GD9/1000000)/(8.314*$FZ$73)</f>
        <v>1.9762130835599828E-3</v>
      </c>
      <c r="GJ9" s="50">
        <f>(100000*GE9/1000000)/(8.314*$FZ$73)</f>
        <v>2.0057088012250574E-3</v>
      </c>
      <c r="GK9" s="52">
        <f>($FX$73-GF9)*10^(3)/60/$FR$35</f>
        <v>0.13168562806789297</v>
      </c>
      <c r="GL9" s="52">
        <f>($FX$73-GG9)*10^(3)/60/$FR$35</f>
        <v>5.2851605608395386E-2</v>
      </c>
      <c r="GM9" s="52">
        <f>($FX$73-GH9)*10^(3)/60/$FR$35</f>
        <v>0.55598670117364402</v>
      </c>
      <c r="GN9" s="52">
        <f>($FX$73-GI9)*10^(3)/60/$FR$35</f>
        <v>0.74380862598872677</v>
      </c>
      <c r="GO9" s="52">
        <f>($FX$73-GJ9)*10^(3)/60/$FR$35</f>
        <v>0.40348651147304032</v>
      </c>
      <c r="GP9" s="45">
        <f t="shared" si="64"/>
        <v>0.25788992838656261</v>
      </c>
      <c r="GQ9" s="52">
        <f>($FX$73-GF9)*10^(3)/60/$FR$35/$FY$69</f>
        <v>0.56728618138012799</v>
      </c>
      <c r="GR9" s="52">
        <f>($FX$73-GG9)*10^(3)/60/$FR$35/$FY$69</f>
        <v>0.22767849434516427</v>
      </c>
      <c r="GS9" s="52">
        <f>($FX$73-GH9)*10^(3)/60/$FR$35/$FY$69</f>
        <v>2.3951252481730099</v>
      </c>
      <c r="GT9" s="52">
        <f>($FX$73-GI9)*10^(3)/60/$FR$35/$FY$69</f>
        <v>3.2042399865929125</v>
      </c>
      <c r="GU9" s="52">
        <f>($FX$73-GJ9)*10^(3)/60/$FR$35/$FY$69</f>
        <v>1.7381723859335703</v>
      </c>
      <c r="GV9" s="45">
        <f t="shared" si="51"/>
        <v>1.1109594481744163</v>
      </c>
    </row>
    <row r="10" spans="1:204" x14ac:dyDescent="0.3">
      <c r="A10" s="45">
        <v>17.57</v>
      </c>
      <c r="B10" s="47">
        <v>17.920000000000002</v>
      </c>
      <c r="C10" s="45">
        <v>17.96</v>
      </c>
      <c r="D10" s="45">
        <v>17.829999999999998</v>
      </c>
      <c r="E10" s="45">
        <v>18.12</v>
      </c>
      <c r="F10" s="48">
        <f t="shared" si="0"/>
        <v>0.29283333333333333</v>
      </c>
      <c r="G10" s="48">
        <f t="shared" si="1"/>
        <v>0.29866666666666669</v>
      </c>
      <c r="H10" s="48">
        <f t="shared" si="2"/>
        <v>0.29933333333333334</v>
      </c>
      <c r="I10" s="48">
        <f t="shared" si="3"/>
        <v>0.29716666666666663</v>
      </c>
      <c r="J10" s="48">
        <f t="shared" si="4"/>
        <v>0.30199999999999999</v>
      </c>
      <c r="K10" s="49">
        <f t="shared" si="52"/>
        <v>17.07455890722823</v>
      </c>
      <c r="L10" s="49">
        <f t="shared" si="5"/>
        <v>16.741071428571427</v>
      </c>
      <c r="M10" s="49">
        <f t="shared" si="5"/>
        <v>16.703786191536746</v>
      </c>
      <c r="N10" s="49">
        <f t="shared" si="5"/>
        <v>16.82557487380819</v>
      </c>
      <c r="O10" s="49">
        <f t="shared" si="5"/>
        <v>16.556291390728479</v>
      </c>
      <c r="P10" s="50">
        <f>(100000*K10/1000000)/(8.314*$J$74)</f>
        <v>6.9183482565770811E-4</v>
      </c>
      <c r="Q10" s="50">
        <f>(100000*L10/1000000)/(8.314*$J$74)</f>
        <v>6.7832242671908094E-4</v>
      </c>
      <c r="R10" s="50">
        <f>(100000*M10/1000000)/(8.314*$J$74)</f>
        <v>6.7681168634776891E-4</v>
      </c>
      <c r="S10" s="50">
        <f>(100000*N10/1000000)/(8.314*$J$74)</f>
        <v>6.8174637615288456E-4</v>
      </c>
      <c r="T10" s="50">
        <f>(100000*O10/1000000)/(8.314*$J$74)</f>
        <v>6.7083542421666283E-4</v>
      </c>
      <c r="U10" s="52">
        <f>($H$74-P10)*10^(3)/60/$B$35</f>
        <v>15.447402387461617</v>
      </c>
      <c r="V10" s="52">
        <f>($H$74-Q10)*10^(3)/60/$B$35</f>
        <v>15.603308686511198</v>
      </c>
      <c r="W10" s="52">
        <f>($H$74-R10)*10^(3)/60/$B$35</f>
        <v>15.62073963575906</v>
      </c>
      <c r="X10" s="52">
        <f>($H$74-S10)*10^(3)/60/$B$35</f>
        <v>15.563803097105366</v>
      </c>
      <c r="Y10" s="52">
        <f>($H$74-T10)*10^(3)/60/$B$35</f>
        <v>15.689693854417255</v>
      </c>
      <c r="Z10" s="45">
        <f t="shared" si="6"/>
        <v>7.9944660659003075E-2</v>
      </c>
      <c r="AA10" s="52">
        <f>($H$74-P10)*10^(3)/60/$B$35/$I$69</f>
        <v>1.0608031263405955</v>
      </c>
      <c r="AB10" s="52">
        <f>($H$74-Q10)*10^(3)/60/$B$35/$I$69</f>
        <v>1.0715095147222582</v>
      </c>
      <c r="AC10" s="52">
        <f>($H$74-R10)*10^(3)/60/$B$35/$I$69</f>
        <v>1.0727065318642617</v>
      </c>
      <c r="AD10" s="52">
        <f>($H$74-S10)*10^(3)/60/$B$35/$I$69</f>
        <v>1.0687965891637417</v>
      </c>
      <c r="AE10" s="52">
        <f>($H$74-T10)*10^(3)/60/$B$35/$I$69</f>
        <v>1.0774417519933339</v>
      </c>
      <c r="AF10" s="45">
        <f t="shared" si="7"/>
        <v>5.4899551286463604E-3</v>
      </c>
      <c r="AJ10" s="45">
        <v>12.82</v>
      </c>
      <c r="AK10" s="47">
        <v>12.74</v>
      </c>
      <c r="AL10" s="45">
        <v>12.84</v>
      </c>
      <c r="AM10" s="45">
        <v>12.9</v>
      </c>
      <c r="AN10" s="45">
        <v>12.77</v>
      </c>
      <c r="AO10" s="48">
        <f t="shared" si="8"/>
        <v>0.21366666666666667</v>
      </c>
      <c r="AP10" s="48">
        <f t="shared" si="8"/>
        <v>0.21233333333333335</v>
      </c>
      <c r="AQ10" s="48">
        <f t="shared" si="8"/>
        <v>0.214</v>
      </c>
      <c r="AR10" s="48">
        <f t="shared" si="8"/>
        <v>0.215</v>
      </c>
      <c r="AS10" s="48">
        <f t="shared" si="8"/>
        <v>0.21283333333333332</v>
      </c>
      <c r="AT10" s="49">
        <f t="shared" si="9"/>
        <v>23.400936037441497</v>
      </c>
      <c r="AU10" s="49">
        <f t="shared" si="10"/>
        <v>23.547880690737831</v>
      </c>
      <c r="AV10" s="49">
        <f t="shared" si="11"/>
        <v>23.364485981308412</v>
      </c>
      <c r="AW10" s="49">
        <f t="shared" si="12"/>
        <v>23.255813953488371</v>
      </c>
      <c r="AX10" s="49">
        <f t="shared" si="13"/>
        <v>23.492560689115116</v>
      </c>
      <c r="AY10" s="50">
        <f>(100660*AT10/1000000)/(8.314*$AS$74)</f>
        <v>9.684563096089417E-4</v>
      </c>
      <c r="AZ10" s="50">
        <f>(100660*AU10/1000000)/(8.314*$AS$74)</f>
        <v>9.7453766791103847E-4</v>
      </c>
      <c r="BA10" s="50">
        <f>(100660*AV10/1000000)/(8.314*$AS$74)</f>
        <v>9.6694781068431721E-4</v>
      </c>
      <c r="BB10" s="50">
        <f>(100660*AW10/1000000)/(8.314*$AS$74)</f>
        <v>9.6245037900671577E-4</v>
      </c>
      <c r="BC10" s="50">
        <f>(100660*AX10/1000000)/(8.314*$AS$74)</f>
        <v>9.7224822938031595E-4</v>
      </c>
      <c r="BD10" s="52">
        <f>($AQ$74-AY10)*10^(3)/60/$AK$35</f>
        <v>12.821164630160629</v>
      </c>
      <c r="BE10" s="52">
        <f>($AQ$74-AZ10)*10^(3)/60/$AK$35</f>
        <v>12.75099781001413</v>
      </c>
      <c r="BF10" s="52">
        <f>($AQ$74-BA10)*10^(3)/60/$AK$35</f>
        <v>12.83856971755678</v>
      </c>
      <c r="BG10" s="52">
        <f>($AQ$74-BB10)*10^(3)/60/$AK$35</f>
        <v>12.890461164165771</v>
      </c>
      <c r="BH10" s="52">
        <f>($AQ$74-BC10)*10^(3)/60/$AK$35</f>
        <v>12.777413392461606</v>
      </c>
      <c r="BI10" s="45">
        <f t="shared" si="14"/>
        <v>4.8568206183709162E-2</v>
      </c>
      <c r="BJ10" s="52">
        <f>($AQ$74-AY10)*10^(3)/60/$AK$35/$AR$69</f>
        <v>1.0772340160151732</v>
      </c>
      <c r="BK10" s="52">
        <f>($AQ$74-AZ10)*10^(3)/60/$AK$35/$AR$69</f>
        <v>1.0713386010791839</v>
      </c>
      <c r="BL10" s="52">
        <f>($AQ$74-BA10)*10^(3)/60/$AK$35/$AR$69</f>
        <v>1.0786963911375349</v>
      </c>
      <c r="BM10" s="52">
        <f>($AQ$74-BB10)*10^(3)/60/$AK$35/$AR$69</f>
        <v>1.0830563095255994</v>
      </c>
      <c r="BN10" s="52">
        <f>($AQ$74-BC10)*10^(3)/60/$AK$35/$AR$69</f>
        <v>1.0735580378297529</v>
      </c>
      <c r="BO10" s="45">
        <f t="shared" si="15"/>
        <v>4.0806997887581188E-3</v>
      </c>
      <c r="BR10" s="45">
        <v>13</v>
      </c>
      <c r="BS10" s="47">
        <v>12.9</v>
      </c>
      <c r="BT10" s="45">
        <v>12.94</v>
      </c>
      <c r="BU10" s="45">
        <v>13.12</v>
      </c>
      <c r="BV10" s="45">
        <v>12.95</v>
      </c>
      <c r="BW10" s="48">
        <f t="shared" si="53"/>
        <v>0.21666666666666667</v>
      </c>
      <c r="BX10" s="48">
        <f t="shared" si="16"/>
        <v>0.215</v>
      </c>
      <c r="BY10" s="48">
        <f t="shared" si="17"/>
        <v>0.21566666666666665</v>
      </c>
      <c r="BZ10" s="48">
        <f t="shared" si="18"/>
        <v>0.21866666666666665</v>
      </c>
      <c r="CA10" s="48">
        <f t="shared" si="19"/>
        <v>0.21583333333333332</v>
      </c>
      <c r="CB10" s="49">
        <f t="shared" si="54"/>
        <v>23.076923076923077</v>
      </c>
      <c r="CC10" s="49">
        <f t="shared" si="20"/>
        <v>23.255813953488371</v>
      </c>
      <c r="CD10" s="49">
        <f t="shared" si="21"/>
        <v>23.183925811437405</v>
      </c>
      <c r="CE10" s="49">
        <f t="shared" si="22"/>
        <v>22.865853658536587</v>
      </c>
      <c r="CF10" s="49">
        <f t="shared" si="23"/>
        <v>23.166023166023166</v>
      </c>
      <c r="CG10" s="50">
        <f>(100660*CB10/1000000)/(8.314*$CA$74)</f>
        <v>9.560272877756266E-4</v>
      </c>
      <c r="CH10" s="50">
        <f>(100660*CC10/1000000)/(8.314*$CA$74)</f>
        <v>9.6343835202194919E-4</v>
      </c>
      <c r="CI10" s="50">
        <f>(100660*CD10/1000000)/(8.314*$CA$74)</f>
        <v>9.6046018091832644E-4</v>
      </c>
      <c r="CJ10" s="50">
        <f>(100660*CE10/1000000)/(8.314*$CA$74)</f>
        <v>9.4728313575328865E-4</v>
      </c>
      <c r="CK10" s="50">
        <f>(100660*CF10/1000000)/(8.314*$CA$74)</f>
        <v>9.5971851282495332E-4</v>
      </c>
      <c r="CL10" s="52">
        <f>($BY$74-CG10)*10^(3)/60/$BS$35</f>
        <v>13.037580823767916</v>
      </c>
      <c r="CM10" s="52">
        <f>($BY$74-CH10)*10^(3)/60/$BS$35</f>
        <v>12.952071832810001</v>
      </c>
      <c r="CN10" s="52">
        <f>($BY$74-CI10)*10^(3)/60/$BS$35</f>
        <v>12.986434023921372</v>
      </c>
      <c r="CO10" s="52">
        <f>($BY$74-CJ10)*10^(3)/60/$BS$35</f>
        <v>13.138471005172532</v>
      </c>
      <c r="CP10" s="52">
        <f>($BY$74-CK10)*10^(3)/60/$BS$35</f>
        <v>12.994991403561079</v>
      </c>
      <c r="CQ10" s="45">
        <f t="shared" si="55"/>
        <v>6.4331280033373101E-2</v>
      </c>
      <c r="CR10" s="52">
        <f>($BY$74-CG10)*10^(3)/60/$BS$35/$BZ$69</f>
        <v>1.1670638220808969</v>
      </c>
      <c r="CS10" s="52">
        <f>($BY$74-CH10)*10^(3)/60/$BS$35/$BZ$69</f>
        <v>1.1594094534400754</v>
      </c>
      <c r="CT10" s="52">
        <f>($BY$74-CI10)*10^(3)/60/$BS$35/$BZ$69</f>
        <v>1.1624853975615801</v>
      </c>
      <c r="CU10" s="52">
        <f>($BY$74-CJ10)*10^(3)/60/$BS$35/$BZ$69</f>
        <v>1.1760950436174762</v>
      </c>
      <c r="CV10" s="52">
        <f>($BY$74-CK10)*10^(3)/60/$BS$35/$BZ$69</f>
        <v>1.1632514145339241</v>
      </c>
      <c r="CW10" s="45">
        <f t="shared" si="24"/>
        <v>5.7586380916798486E-3</v>
      </c>
      <c r="DA10" s="45">
        <v>6.79</v>
      </c>
      <c r="DB10" s="47">
        <v>6.83</v>
      </c>
      <c r="DC10" s="45">
        <v>6.78</v>
      </c>
      <c r="DD10" s="45">
        <v>6.69</v>
      </c>
      <c r="DE10" s="45">
        <v>6.78</v>
      </c>
      <c r="DF10" s="48">
        <f t="shared" si="56"/>
        <v>0.11316666666666667</v>
      </c>
      <c r="DG10" s="48">
        <f t="shared" si="25"/>
        <v>0.11383333333333333</v>
      </c>
      <c r="DH10" s="48">
        <f t="shared" si="26"/>
        <v>0.113</v>
      </c>
      <c r="DI10" s="48">
        <f t="shared" si="27"/>
        <v>0.1115</v>
      </c>
      <c r="DJ10" s="48">
        <f t="shared" si="28"/>
        <v>0.113</v>
      </c>
      <c r="DK10" s="49">
        <f t="shared" si="57"/>
        <v>44.18262150220913</v>
      </c>
      <c r="DL10" s="49">
        <f t="shared" si="29"/>
        <v>43.923865300146417</v>
      </c>
      <c r="DM10" s="49">
        <f t="shared" si="30"/>
        <v>44.247787610619469</v>
      </c>
      <c r="DN10" s="49">
        <f t="shared" si="31"/>
        <v>44.843049327354258</v>
      </c>
      <c r="DO10" s="49">
        <f t="shared" si="32"/>
        <v>44.247787610619469</v>
      </c>
      <c r="DP10" s="50">
        <f>(100660*DK10/1000000)/(8.314*$DJ$74)</f>
        <v>1.7869776627373788E-3</v>
      </c>
      <c r="DQ10" s="50">
        <f>(100660*DL10/1000000)/(8.314*$DJ$74)</f>
        <v>1.7765122005837194E-3</v>
      </c>
      <c r="DR10" s="50">
        <f>(100660*DM10/1000000)/(8.314*$DJ$74)</f>
        <v>1.7896133230069034E-3</v>
      </c>
      <c r="DS10" s="50">
        <f>(100660*DN10/1000000)/(8.314*$DJ$74)</f>
        <v>1.8136888385630499E-3</v>
      </c>
      <c r="DT10" s="50">
        <f>(100660*DO10/1000000)/(8.314*$DJ$74)</f>
        <v>1.7896133230069034E-3</v>
      </c>
      <c r="DU10" s="52">
        <f>($DH$74-DP10)*10^(3)/60/$DB$35</f>
        <v>3.0300365914620304</v>
      </c>
      <c r="DV10" s="52">
        <f>($DH$74-DQ10)*10^(3)/60/$DB$35</f>
        <v>3.1507872797470124</v>
      </c>
      <c r="DW10" s="52">
        <f>($DH$74-DR10)*10^(3)/60/$DB$35</f>
        <v>2.9996262964404021</v>
      </c>
      <c r="DX10" s="52">
        <f>($DH$74-DS10)*10^(3)/60/$DB$35</f>
        <v>2.7218425701666447</v>
      </c>
      <c r="DY10" s="52">
        <f>($DH$74-DT10)*10^(3)/60/$DB$35</f>
        <v>2.9996262964404021</v>
      </c>
      <c r="DZ10" s="45">
        <f t="shared" si="58"/>
        <v>0.14077418831030339</v>
      </c>
      <c r="EA10" s="52">
        <f>($DH$74-DP10)*10^(3)/60/$DB$35/$DI$69</f>
        <v>1.1162791349839258</v>
      </c>
      <c r="EB10" s="52">
        <f>($DH$74-DQ10)*10^(3)/60/$DB$35/$DI$69</f>
        <v>1.160764232704292</v>
      </c>
      <c r="EC10" s="52">
        <f>($DH$74-DR10)*10^(3)/60/$DB$35/$DI$69</f>
        <v>1.1050758452556755</v>
      </c>
      <c r="ED10" s="52">
        <f>($DH$74-DS10)*10^(3)/60/$DB$35/$DI$69</f>
        <v>1.0027390686796995</v>
      </c>
      <c r="EE10" s="52">
        <f>($DH$74-DT10)*10^(3)/60/$DB$35/$DI$69</f>
        <v>1.1050758452556755</v>
      </c>
      <c r="EF10" s="45">
        <f t="shared" si="33"/>
        <v>5.1861845364470055E-2</v>
      </c>
      <c r="EI10" s="45">
        <v>6.1</v>
      </c>
      <c r="EJ10" s="47">
        <v>6.06</v>
      </c>
      <c r="EK10" s="45">
        <v>6.1</v>
      </c>
      <c r="EL10" s="45">
        <v>6.06</v>
      </c>
      <c r="EM10" s="45">
        <v>6.14</v>
      </c>
      <c r="EN10" s="48">
        <f t="shared" si="59"/>
        <v>0.10166666666666666</v>
      </c>
      <c r="EO10" s="48">
        <f t="shared" si="34"/>
        <v>0.10099999999999999</v>
      </c>
      <c r="EP10" s="48">
        <f t="shared" si="35"/>
        <v>0.10166666666666666</v>
      </c>
      <c r="EQ10" s="48">
        <f t="shared" si="36"/>
        <v>0.10099999999999999</v>
      </c>
      <c r="ER10" s="48">
        <f t="shared" si="37"/>
        <v>0.10233333333333333</v>
      </c>
      <c r="ES10" s="49">
        <f t="shared" si="60"/>
        <v>49.180327868852466</v>
      </c>
      <c r="ET10" s="49">
        <f t="shared" si="38"/>
        <v>49.504950495049506</v>
      </c>
      <c r="EU10" s="49">
        <f t="shared" si="39"/>
        <v>49.180327868852466</v>
      </c>
      <c r="EV10" s="49">
        <f t="shared" si="40"/>
        <v>49.504950495049506</v>
      </c>
      <c r="EW10" s="49">
        <f t="shared" si="41"/>
        <v>48.859934853420199</v>
      </c>
      <c r="EX10" s="50">
        <f>(100000*ES10/1000000)/(8.314*$ER$74)</f>
        <v>1.9767294858448531E-3</v>
      </c>
      <c r="EY10" s="50">
        <f>(100000*ET10/1000000)/(8.314*$ER$74)</f>
        <v>1.9897772052233664E-3</v>
      </c>
      <c r="EZ10" s="50">
        <f>(100000*EU10/1000000)/(8.314*$ER$74)</f>
        <v>1.9767294858448531E-3</v>
      </c>
      <c r="FA10" s="50">
        <f>(100000*EV10/1000000)/(8.314*$ER$74)</f>
        <v>1.9897772052233664E-3</v>
      </c>
      <c r="FB10" s="50">
        <f>(100000*EW10/1000000)/(8.314*$ER$74)</f>
        <v>1.9638517693246907E-3</v>
      </c>
      <c r="FC10" s="52">
        <f>($EP$74-EX10)*10^(3)/60/$EJ$35</f>
        <v>0.67760415731041468</v>
      </c>
      <c r="FD10" s="52">
        <f>($EP$74-EY10)*10^(3)/60/$EJ$35</f>
        <v>0.52705933928210802</v>
      </c>
      <c r="FE10" s="52">
        <f>($EP$74-EZ10)*10^(3)/60/$EJ$35</f>
        <v>0.67760415731041468</v>
      </c>
      <c r="FF10" s="52">
        <f>($EP$74-FA10)*10^(3)/60/$EJ$35</f>
        <v>0.52705933928210802</v>
      </c>
      <c r="FG10" s="52">
        <f>($EP$74-FB10)*10^(3)/60/$EJ$35</f>
        <v>0.82618747933836356</v>
      </c>
      <c r="FH10" s="45">
        <f t="shared" si="61"/>
        <v>0.11202932909867055</v>
      </c>
      <c r="FI10" s="52">
        <f>($EP$74-EX10)*10^(3)/60/$EJ$35/$EQ$69</f>
        <v>1.4401636719940394</v>
      </c>
      <c r="FJ10" s="52">
        <f>($EP$74-EY10)*10^(3)/60/$EJ$35/$EQ$69</f>
        <v>1.1201993158249568</v>
      </c>
      <c r="FK10" s="52">
        <f>($EP$74-EZ10)*10^(3)/60/$EJ$35/$EQ$69</f>
        <v>1.4401636719940394</v>
      </c>
      <c r="FL10" s="52">
        <f>($EP$74-FA10)*10^(3)/60/$EJ$35/$EQ$69</f>
        <v>1.1201993158249568</v>
      </c>
      <c r="FM10" s="52">
        <f>($EP$74-FB10)*10^(3)/60/$EJ$35/$EQ$69</f>
        <v>1.7559591114703885</v>
      </c>
      <c r="FN10" s="45">
        <f t="shared" si="42"/>
        <v>0.23810445704195873</v>
      </c>
      <c r="FQ10" s="45">
        <v>6.01</v>
      </c>
      <c r="FR10" s="47">
        <v>6.09</v>
      </c>
      <c r="FS10" s="45">
        <v>6</v>
      </c>
      <c r="FT10" s="45">
        <v>5.95</v>
      </c>
      <c r="FU10" s="45">
        <v>6.1</v>
      </c>
      <c r="FV10" s="48">
        <f t="shared" si="62"/>
        <v>0.10016666666666667</v>
      </c>
      <c r="FW10" s="48">
        <f t="shared" si="43"/>
        <v>0.10149999999999999</v>
      </c>
      <c r="FX10" s="48">
        <f t="shared" si="44"/>
        <v>0.1</v>
      </c>
      <c r="FY10" s="48">
        <f t="shared" si="45"/>
        <v>9.9166666666666667E-2</v>
      </c>
      <c r="FZ10" s="48">
        <f t="shared" si="46"/>
        <v>0.10166666666666666</v>
      </c>
      <c r="GA10" s="49">
        <f t="shared" si="63"/>
        <v>49.916805324459233</v>
      </c>
      <c r="GB10" s="49">
        <f t="shared" si="47"/>
        <v>49.26108374384237</v>
      </c>
      <c r="GC10" s="49">
        <f t="shared" si="48"/>
        <v>50</v>
      </c>
      <c r="GD10" s="49">
        <f t="shared" si="49"/>
        <v>50.420168067226889</v>
      </c>
      <c r="GE10" s="49">
        <f t="shared" si="50"/>
        <v>49.180327868852466</v>
      </c>
      <c r="GF10" s="50">
        <f>(100000*GA10/1000000)/(8.314*$FZ$74)</f>
        <v>2.0083444700368875E-3</v>
      </c>
      <c r="GG10" s="50">
        <f>(100000*GB10/1000000)/(8.314*$FZ$74)</f>
        <v>1.9819622766702291E-3</v>
      </c>
      <c r="GH10" s="50">
        <f>(100000*GC10/1000000)/(8.314*$FZ$74)</f>
        <v>2.0116917108202823E-3</v>
      </c>
      <c r="GI10" s="50">
        <f>(100000*GD10/1000000)/(8.314*$FZ$74)</f>
        <v>2.0285966831801163E-3</v>
      </c>
      <c r="GJ10" s="50">
        <f>(100000*GE10/1000000)/(8.314*$FZ$74)</f>
        <v>1.9787131581838844E-3</v>
      </c>
      <c r="GK10" s="52">
        <f>($FX$74-GF10)*10^(3)/60/$FR$35</f>
        <v>0.32581994067279219</v>
      </c>
      <c r="GL10" s="52">
        <f>($FX$74-GG10)*10^(3)/60/$FR$35</f>
        <v>0.63021815651054836</v>
      </c>
      <c r="GM10" s="52">
        <f>($FX$74-GH10)*10^(3)/60/$FR$35</f>
        <v>0.28719941703837593</v>
      </c>
      <c r="GN10" s="52">
        <f>($FX$74-GI10)*10^(3)/60/$FR$35</f>
        <v>9.214954557380893E-2</v>
      </c>
      <c r="GO10" s="52">
        <f>($FX$74-GJ10)*10^(3)/60/$FR$35</f>
        <v>0.66770654333810975</v>
      </c>
      <c r="GP10" s="45">
        <f t="shared" si="64"/>
        <v>0.2180201063506608</v>
      </c>
      <c r="GQ10" s="52">
        <f>($FX$74-GF10)*10^(3)/60/$FR$35/$FY$69</f>
        <v>1.4035939431938158</v>
      </c>
      <c r="GR10" s="52">
        <f>($FX$74-GG10)*10^(3)/60/$FR$35/$FY$69</f>
        <v>2.7149056179385789</v>
      </c>
      <c r="GS10" s="52">
        <f>($FX$74-GH10)*10^(3)/60/$FR$35/$FY$69</f>
        <v>1.23722127446057</v>
      </c>
      <c r="GT10" s="52">
        <f>($FX$74-GI10)*10^(3)/60/$FR$35/$FY$69</f>
        <v>0.39696939287504263</v>
      </c>
      <c r="GU10" s="52">
        <f>($FX$74-GJ10)*10^(3)/60/$FR$35/$FY$69</f>
        <v>2.8764011746028491</v>
      </c>
      <c r="GV10" s="45">
        <f t="shared" si="51"/>
        <v>0.93920494901683915</v>
      </c>
    </row>
    <row r="11" spans="1:204" x14ac:dyDescent="0.3">
      <c r="A11" s="45">
        <v>18.28</v>
      </c>
      <c r="B11" s="47">
        <v>18.84</v>
      </c>
      <c r="C11" s="45">
        <v>18.87</v>
      </c>
      <c r="D11" s="45">
        <v>18.46</v>
      </c>
      <c r="E11" s="45">
        <v>18.3</v>
      </c>
      <c r="F11" s="48">
        <f t="shared" si="0"/>
        <v>0.3046666666666667</v>
      </c>
      <c r="G11" s="48">
        <f t="shared" si="1"/>
        <v>0.314</v>
      </c>
      <c r="H11" s="48">
        <f t="shared" si="2"/>
        <v>0.3145</v>
      </c>
      <c r="I11" s="48">
        <f t="shared" si="3"/>
        <v>0.3076666666666667</v>
      </c>
      <c r="J11" s="48">
        <f t="shared" si="4"/>
        <v>0.30499999999999999</v>
      </c>
      <c r="K11" s="49">
        <f t="shared" si="52"/>
        <v>16.411378555798684</v>
      </c>
      <c r="L11" s="49">
        <f t="shared" si="5"/>
        <v>15.923566878980891</v>
      </c>
      <c r="M11" s="49">
        <f t="shared" si="5"/>
        <v>15.898251192368839</v>
      </c>
      <c r="N11" s="49">
        <f t="shared" si="5"/>
        <v>16.251354279523291</v>
      </c>
      <c r="O11" s="49">
        <f t="shared" si="5"/>
        <v>16.393442622950818</v>
      </c>
      <c r="P11" s="50">
        <f>(100000*K11/1000000)/(8.314*$J$75)</f>
        <v>6.6406895846837061E-4</v>
      </c>
      <c r="Q11" s="50">
        <f>(100000*L11/1000000)/(8.314*$J$75)</f>
        <v>6.443301783865084E-4</v>
      </c>
      <c r="R11" s="50">
        <f>(100000*M11/1000000)/(8.314*$J$75)</f>
        <v>6.4330580608382712E-4</v>
      </c>
      <c r="S11" s="50">
        <f>(100000*N11/1000000)/(8.314*$J$75)</f>
        <v>6.5759374652230853E-4</v>
      </c>
      <c r="T11" s="50">
        <f>(100000*O11/1000000)/(8.314*$J$75)</f>
        <v>6.6334320004381511E-4</v>
      </c>
      <c r="U11" s="52">
        <f>($H$75-P11)*10^(3)/60/$B$35</f>
        <v>15.73623670301307</v>
      </c>
      <c r="V11" s="52">
        <f>($H$75-Q11)*10^(3)/60/$B$35</f>
        <v>15.963983098327043</v>
      </c>
      <c r="W11" s="52">
        <f>($H$75-R11)*10^(3)/60/$B$35</f>
        <v>15.975802324156991</v>
      </c>
      <c r="X11" s="52">
        <f>($H$75-S11)*10^(3)/60/$B$35</f>
        <v>15.810947813501846</v>
      </c>
      <c r="Y11" s="52">
        <f>($H$75-T11)*10^(3)/60/$B$35</f>
        <v>15.744610516611264</v>
      </c>
      <c r="Z11" s="45">
        <f t="shared" si="6"/>
        <v>0.1042349459298515</v>
      </c>
      <c r="AA11" s="52">
        <f>($H$75-P11)*10^(3)/60/$B$35/$I$69</f>
        <v>1.0806379398093069</v>
      </c>
      <c r="AB11" s="52">
        <f>($H$75-Q11)*10^(3)/60/$B$35/$I$69</f>
        <v>1.0962777271406683</v>
      </c>
      <c r="AC11" s="52">
        <f>($H$75-R11)*10^(3)/60/$B$35/$I$69</f>
        <v>1.0970893763355847</v>
      </c>
      <c r="AD11" s="52">
        <f>($H$75-S11)*10^(3)/60/$B$35/$I$69</f>
        <v>1.0857684968823329</v>
      </c>
      <c r="AE11" s="52">
        <f>($H$75-T11)*10^(3)/60/$B$35/$I$69</f>
        <v>1.0812129858540429</v>
      </c>
      <c r="AF11" s="45">
        <f t="shared" si="7"/>
        <v>7.1580161986379972E-3</v>
      </c>
      <c r="AJ11" s="45"/>
      <c r="AK11" s="47"/>
      <c r="AL11" s="45"/>
      <c r="AM11" s="45"/>
      <c r="AN11" s="45"/>
      <c r="AO11" s="48"/>
      <c r="AP11" s="48"/>
      <c r="AQ11" s="48"/>
      <c r="AR11" s="48"/>
      <c r="AS11" s="48"/>
      <c r="AT11" s="49"/>
      <c r="AU11" s="49"/>
      <c r="AV11" s="49"/>
      <c r="AW11" s="49"/>
      <c r="AX11" s="49"/>
      <c r="AY11" s="50"/>
      <c r="AZ11" s="50"/>
      <c r="BA11" s="50"/>
      <c r="BB11" s="50"/>
      <c r="BC11" s="50"/>
      <c r="BD11" s="52"/>
      <c r="BE11" s="52"/>
      <c r="BF11" s="52"/>
      <c r="BG11" s="52"/>
      <c r="BH11" s="52"/>
      <c r="BI11" s="45"/>
      <c r="BJ11" s="52"/>
      <c r="BK11" s="52"/>
      <c r="BL11" s="52"/>
      <c r="BM11" s="52"/>
      <c r="BN11" s="52"/>
      <c r="BO11" s="45"/>
      <c r="BR11" s="45">
        <v>14.41</v>
      </c>
      <c r="BS11" s="47">
        <v>17</v>
      </c>
      <c r="BT11" s="45">
        <v>15</v>
      </c>
      <c r="BU11" s="45">
        <v>13.41</v>
      </c>
      <c r="BV11" s="45">
        <v>14.41</v>
      </c>
      <c r="BW11" s="48">
        <f t="shared" si="53"/>
        <v>0.24016666666666667</v>
      </c>
      <c r="BX11" s="48">
        <f t="shared" si="16"/>
        <v>0.28333333333333333</v>
      </c>
      <c r="BY11" s="48">
        <f t="shared" si="17"/>
        <v>0.25</v>
      </c>
      <c r="BZ11" s="48">
        <f t="shared" si="18"/>
        <v>0.2235</v>
      </c>
      <c r="CA11" s="48">
        <f t="shared" si="19"/>
        <v>0.24016666666666667</v>
      </c>
      <c r="CB11" s="49">
        <f t="shared" si="54"/>
        <v>20.818875780707842</v>
      </c>
      <c r="CC11" s="49">
        <f t="shared" si="20"/>
        <v>17.647058823529413</v>
      </c>
      <c r="CD11" s="49">
        <f t="shared" si="21"/>
        <v>20</v>
      </c>
      <c r="CE11" s="49">
        <f t="shared" si="22"/>
        <v>22.371364653243848</v>
      </c>
      <c r="CF11" s="49">
        <f t="shared" si="23"/>
        <v>20.818875780707842</v>
      </c>
      <c r="CG11" s="50">
        <f>(100660*CB11/1000000)/(8.314*$CA$75)</f>
        <v>8.6159680008234777E-4</v>
      </c>
      <c r="CH11" s="50">
        <f>(100660*CC11/1000000)/(8.314*$CA$75)</f>
        <v>7.303299934815667E-4</v>
      </c>
      <c r="CI11" s="50">
        <f>(100660*CD11/1000000)/(8.314*$CA$75)</f>
        <v>8.2770732594577548E-4</v>
      </c>
      <c r="CJ11" s="50">
        <f>(100660*CE11/1000000)/(8.314*$CA$75)</f>
        <v>9.2584712074471537E-4</v>
      </c>
      <c r="CK11" s="50">
        <f>(100660*CF11/1000000)/(8.314*$CA$75)</f>
        <v>8.6159680008234777E-4</v>
      </c>
      <c r="CL11" s="52">
        <f>($BY$75-CG11)*10^(3)/60/$BS$35</f>
        <v>14.10244031263343</v>
      </c>
      <c r="CM11" s="52">
        <f>($BY$75-CH11)*10^(3)/60/$BS$35</f>
        <v>15.616999059613709</v>
      </c>
      <c r="CN11" s="52">
        <f>($BY$75-CI11)*10^(3)/60/$BS$35</f>
        <v>14.493457667387924</v>
      </c>
      <c r="CO11" s="52">
        <f>($BY$75-CJ11)*10^(3)/60/$BS$35</f>
        <v>13.361118971196163</v>
      </c>
      <c r="CP11" s="52">
        <f>($BY$75-CK11)*10^(3)/60/$BS$35</f>
        <v>14.10244031263343</v>
      </c>
      <c r="CQ11" s="45">
        <f t="shared" si="55"/>
        <v>0.73827396969809855</v>
      </c>
      <c r="CR11" s="52">
        <f>($BY$75-CG11)*10^(3)/60/$BS$35/$BZ$69</f>
        <v>1.2623851092010434</v>
      </c>
      <c r="CS11" s="52">
        <f>($BY$75-CH11)*10^(3)/60/$BS$35/$BZ$69</f>
        <v>1.3979613901008323</v>
      </c>
      <c r="CT11" s="52">
        <f>($BY$75-CI11)*10^(3)/60/$BS$35/$BZ$69</f>
        <v>1.2973871709108213</v>
      </c>
      <c r="CU11" s="52">
        <f>($BY$75-CJ11)*10^(3)/60/$BS$35/$BZ$69</f>
        <v>1.1960254578345351</v>
      </c>
      <c r="CV11" s="52">
        <f>($BY$75-CK11)*10^(3)/60/$BS$35/$BZ$69</f>
        <v>1.2623851092010434</v>
      </c>
      <c r="CW11" s="45">
        <f t="shared" si="24"/>
        <v>6.6086864769263953E-2</v>
      </c>
      <c r="DA11" s="45">
        <v>6.75</v>
      </c>
      <c r="DB11" s="47">
        <v>6.73</v>
      </c>
      <c r="DC11" s="45">
        <v>6.81</v>
      </c>
      <c r="DD11" s="45">
        <v>6.85</v>
      </c>
      <c r="DE11" s="45">
        <v>6.78</v>
      </c>
      <c r="DF11" s="48">
        <f t="shared" si="56"/>
        <v>0.1125</v>
      </c>
      <c r="DG11" s="48">
        <f t="shared" si="25"/>
        <v>0.11216666666666668</v>
      </c>
      <c r="DH11" s="48">
        <f t="shared" si="26"/>
        <v>0.11349999999999999</v>
      </c>
      <c r="DI11" s="48">
        <f t="shared" si="27"/>
        <v>0.11416666666666667</v>
      </c>
      <c r="DJ11" s="48">
        <f t="shared" si="28"/>
        <v>0.113</v>
      </c>
      <c r="DK11" s="49">
        <f t="shared" si="57"/>
        <v>44.444444444444443</v>
      </c>
      <c r="DL11" s="49">
        <f t="shared" si="29"/>
        <v>44.576523031203564</v>
      </c>
      <c r="DM11" s="49">
        <f t="shared" si="30"/>
        <v>44.052863436123353</v>
      </c>
      <c r="DN11" s="49">
        <f t="shared" si="31"/>
        <v>43.795620437956202</v>
      </c>
      <c r="DO11" s="49">
        <f t="shared" si="32"/>
        <v>44.247787610619469</v>
      </c>
      <c r="DP11" s="50">
        <f>(100660*DK11/1000000)/(8.314*$DJ$75)</f>
        <v>1.7921789486941375E-3</v>
      </c>
      <c r="DQ11" s="50">
        <f>(100660*DL11/1000000)/(8.314*$DJ$75)</f>
        <v>1.7975048891063041E-3</v>
      </c>
      <c r="DR11" s="50">
        <f>(100660*DM11/1000000)/(8.314*$DJ$75)</f>
        <v>1.7763888257981539E-3</v>
      </c>
      <c r="DS11" s="50">
        <f>(100660*DN11/1000000)/(8.314*$DJ$75)</f>
        <v>1.7660157523628362E-3</v>
      </c>
      <c r="DT11" s="50">
        <f>(100660*DO11/1000000)/(8.314*$DJ$75)</f>
        <v>1.7842489533459332E-3</v>
      </c>
      <c r="DU11" s="52">
        <f>($DH$75-DP11)*10^(3)/60/$DB$35</f>
        <v>2.8991384831407219</v>
      </c>
      <c r="DV11" s="52">
        <f>($DH$75-DQ11)*10^(3)/60/$DB$35</f>
        <v>2.8376876880309188</v>
      </c>
      <c r="DW11" s="52">
        <f>($DH$75-DR11)*10^(3)/60/$DB$35</f>
        <v>3.0813252016821271</v>
      </c>
      <c r="DX11" s="52">
        <f>($DH$75-DS11)*10^(3)/60/$DB$35</f>
        <v>3.201009907293269</v>
      </c>
      <c r="DY11" s="52">
        <f>($DH$75-DT11)*10^(3)/60/$DB$35</f>
        <v>2.9906349103728003</v>
      </c>
      <c r="DZ11" s="45">
        <f t="shared" si="58"/>
        <v>0.12931018157328164</v>
      </c>
      <c r="EA11" s="52">
        <f>($DH$75-DP11)*10^(3)/60/$DB$35/$DI$69</f>
        <v>1.0680556819934</v>
      </c>
      <c r="EB11" s="52">
        <f>($DH$75-DQ11)*10^(3)/60/$DB$35/$DI$69</f>
        <v>1.0454169321503999</v>
      </c>
      <c r="EC11" s="52">
        <f>($DH$75-DR11)*10^(3)/60/$DB$35/$DI$69</f>
        <v>1.1351740901182441</v>
      </c>
      <c r="ED11" s="52">
        <f>($DH$75-DS11)*10^(3)/60/$DB$35/$DI$69</f>
        <v>1.1792664750177764</v>
      </c>
      <c r="EE11" s="52">
        <f>($DH$75-DT11)*10^(3)/60/$DB$35/$DI$69</f>
        <v>1.101763378109196</v>
      </c>
      <c r="EF11" s="45">
        <f t="shared" si="33"/>
        <v>4.7638453620650285E-2</v>
      </c>
      <c r="EI11" s="45">
        <v>6.28</v>
      </c>
      <c r="EJ11" s="47">
        <v>5.96</v>
      </c>
      <c r="EK11" s="45">
        <v>6.09</v>
      </c>
      <c r="EL11" s="45">
        <v>6.11</v>
      </c>
      <c r="EM11" s="45">
        <v>6.16</v>
      </c>
      <c r="EN11" s="48">
        <f t="shared" si="59"/>
        <v>0.10466666666666667</v>
      </c>
      <c r="EO11" s="48">
        <f t="shared" si="34"/>
        <v>9.9333333333333329E-2</v>
      </c>
      <c r="EP11" s="48">
        <f t="shared" si="35"/>
        <v>0.10149999999999999</v>
      </c>
      <c r="EQ11" s="48">
        <f t="shared" si="36"/>
        <v>0.10183333333333335</v>
      </c>
      <c r="ER11" s="48">
        <f t="shared" si="37"/>
        <v>0.10266666666666667</v>
      </c>
      <c r="ES11" s="49">
        <f t="shared" si="60"/>
        <v>47.770700636942671</v>
      </c>
      <c r="ET11" s="49">
        <f t="shared" si="38"/>
        <v>50.335570469798661</v>
      </c>
      <c r="EU11" s="49">
        <f t="shared" si="39"/>
        <v>49.26108374384237</v>
      </c>
      <c r="EV11" s="49">
        <f t="shared" si="40"/>
        <v>49.099836333878883</v>
      </c>
      <c r="EW11" s="49">
        <f t="shared" si="41"/>
        <v>48.701298701298697</v>
      </c>
      <c r="EX11" s="50">
        <f>(100000*ES11/1000000)/(8.314*$ER$75)</f>
        <v>1.9194302207321495E-3</v>
      </c>
      <c r="EY11" s="50">
        <f>(100000*ET11/1000000)/(8.314*$ER$75)</f>
        <v>2.0224868768788421E-3</v>
      </c>
      <c r="EZ11" s="50">
        <f>(100000*EU11/1000000)/(8.314*$ER$75)</f>
        <v>1.9793139221999838E-3</v>
      </c>
      <c r="FA11" s="50">
        <f>(100000*EV11/1000000)/(8.314*$ER$75)</f>
        <v>1.972834989557757E-3</v>
      </c>
      <c r="FB11" s="50">
        <f>(100000*EW11/1000000)/(8.314*$ER$75)</f>
        <v>1.9568217185386193E-3</v>
      </c>
      <c r="FC11" s="52">
        <f>($EP$75-EX11)*10^(3)/60/$EJ$35</f>
        <v>1.33087871661998</v>
      </c>
      <c r="FD11" s="52">
        <f>($EP$75-EY11)*10^(3)/60/$EJ$35</f>
        <v>0.14180918683236543</v>
      </c>
      <c r="FE11" s="52">
        <f>($EP$75-EZ11)*10^(3)/60/$EJ$35</f>
        <v>0.63993950503772223</v>
      </c>
      <c r="FF11" s="52">
        <f>($EP$75-FA11)*10^(3)/60/$EJ$35</f>
        <v>0.71469354498495619</v>
      </c>
      <c r="FG11" s="52">
        <f>($EP$75-FB11)*10^(3)/60/$EJ$35</f>
        <v>0.89945495053633207</v>
      </c>
      <c r="FH11" s="45">
        <f t="shared" si="61"/>
        <v>0.38546203898012404</v>
      </c>
      <c r="FI11" s="52">
        <f>($EP$75-EX11)*10^(3)/60/$EJ$35/$EQ$69</f>
        <v>2.8286177982053031</v>
      </c>
      <c r="FJ11" s="52">
        <f>($EP$75-EY11)*10^(3)/60/$EJ$35/$EQ$69</f>
        <v>0.30139785452560297</v>
      </c>
      <c r="FK11" s="52">
        <f>($EP$75-EZ11)*10^(3)/60/$EJ$35/$EQ$69</f>
        <v>1.3601121207510174</v>
      </c>
      <c r="FL11" s="52">
        <f>($EP$75-FA11)*10^(3)/60/$EJ$35/$EQ$69</f>
        <v>1.5189925696167976</v>
      </c>
      <c r="FM11" s="52">
        <f>($EP$75-FB11)*10^(3)/60/$EJ$35/$EQ$69</f>
        <v>1.9116800426656877</v>
      </c>
      <c r="FN11" s="45">
        <f t="shared" si="42"/>
        <v>0.81925179986405816</v>
      </c>
      <c r="FQ11" s="45">
        <v>6.06</v>
      </c>
      <c r="FR11" s="47">
        <v>6.2</v>
      </c>
      <c r="FS11" s="45">
        <v>6.11</v>
      </c>
      <c r="FT11" s="45">
        <v>5.97</v>
      </c>
      <c r="FU11" s="45">
        <v>6</v>
      </c>
      <c r="FV11" s="48">
        <f t="shared" si="62"/>
        <v>0.10099999999999999</v>
      </c>
      <c r="FW11" s="48">
        <f t="shared" si="43"/>
        <v>0.10333333333333333</v>
      </c>
      <c r="FX11" s="48">
        <f t="shared" si="44"/>
        <v>0.10183333333333335</v>
      </c>
      <c r="FY11" s="48">
        <f t="shared" si="45"/>
        <v>9.9499999999999991E-2</v>
      </c>
      <c r="FZ11" s="48">
        <f t="shared" si="46"/>
        <v>0.1</v>
      </c>
      <c r="GA11" s="49">
        <f t="shared" si="63"/>
        <v>49.504950495049506</v>
      </c>
      <c r="GB11" s="49">
        <f t="shared" si="47"/>
        <v>48.387096774193552</v>
      </c>
      <c r="GC11" s="49">
        <f t="shared" si="48"/>
        <v>49.099836333878883</v>
      </c>
      <c r="GD11" s="49">
        <f t="shared" si="49"/>
        <v>50.251256281407038</v>
      </c>
      <c r="GE11" s="49">
        <f t="shared" si="50"/>
        <v>50</v>
      </c>
      <c r="GF11" s="50">
        <f>(100000*GA11/1000000)/(8.314*$FZ$75)</f>
        <v>1.9871210701254546E-3</v>
      </c>
      <c r="GG11" s="50">
        <f>(100000*GB11/1000000)/(8.314*$FZ$75)</f>
        <v>1.9422505943484283E-3</v>
      </c>
      <c r="GH11" s="50">
        <f>(100000*GC11/1000000)/(8.314*$FZ$75)</f>
        <v>1.9708598502389944E-3</v>
      </c>
      <c r="GI11" s="50">
        <f>(100000*GD11/1000000)/(8.314*$FZ$75)</f>
        <v>2.0170776691725723E-3</v>
      </c>
      <c r="GJ11" s="50">
        <f>(100000*GE11/1000000)/(8.314*$FZ$75)</f>
        <v>2.0069922808267091E-3</v>
      </c>
      <c r="GK11" s="52">
        <f>($FX$75-GF11)*10^(3)/60/$FR$35</f>
        <v>0.51580288448508826</v>
      </c>
      <c r="GL11" s="52">
        <f>($FX$75-GG11)*10^(3)/60/$FR$35</f>
        <v>1.0335192312835917</v>
      </c>
      <c r="GM11" s="52">
        <f>($FX$75-GH11)*10^(3)/60/$FR$35</f>
        <v>0.70342512847332206</v>
      </c>
      <c r="GN11" s="52">
        <f>($FX$75-GI11)*10^(3)/60/$FR$35</f>
        <v>0.1701631123941949</v>
      </c>
      <c r="GO11" s="52">
        <f>($FX$75-GJ11)*10^(3)/60/$FR$35</f>
        <v>0.28652850233146543</v>
      </c>
      <c r="GP11" s="45">
        <f t="shared" si="64"/>
        <v>0.30720150058717721</v>
      </c>
      <c r="GQ11" s="52">
        <f>($FX$75-GF11)*10^(3)/60/$FR$35/$FY$69</f>
        <v>2.2220180970207437</v>
      </c>
      <c r="GR11" s="52">
        <f>($FX$75-GG11)*10^(3)/60/$FR$35/$FY$69</f>
        <v>4.452279164401415</v>
      </c>
      <c r="GS11" s="52">
        <f>($FX$75-GH11)*10^(3)/60/$FR$35/$FY$69</f>
        <v>3.0302726339485022</v>
      </c>
      <c r="GT11" s="52">
        <f>($FX$75-GI11)*10^(3)/60/$FR$35/$FY$69</f>
        <v>0.73304265361510756</v>
      </c>
      <c r="GU11" s="52">
        <f>($FX$75-GJ11)*10^(3)/60/$FR$35/$FY$69</f>
        <v>1.2343310528950184</v>
      </c>
      <c r="GV11" s="45">
        <f t="shared" si="51"/>
        <v>1.3233878953935374</v>
      </c>
    </row>
    <row r="12" spans="1:204" x14ac:dyDescent="0.3">
      <c r="A12" s="45">
        <v>18.09</v>
      </c>
      <c r="B12" s="47">
        <v>18.46</v>
      </c>
      <c r="C12" s="45">
        <v>18.64</v>
      </c>
      <c r="D12" s="45">
        <v>18.46</v>
      </c>
      <c r="E12" s="45">
        <v>18.27</v>
      </c>
      <c r="F12" s="48">
        <f t="shared" si="0"/>
        <v>0.30149999999999999</v>
      </c>
      <c r="G12" s="48">
        <f t="shared" si="1"/>
        <v>0.3076666666666667</v>
      </c>
      <c r="H12" s="48">
        <f t="shared" si="2"/>
        <v>0.3106666666666667</v>
      </c>
      <c r="I12" s="48">
        <f t="shared" si="3"/>
        <v>0.3076666666666667</v>
      </c>
      <c r="J12" s="48">
        <f t="shared" si="4"/>
        <v>0.30449999999999999</v>
      </c>
      <c r="K12" s="49">
        <f t="shared" ref="K12:K20" si="65">5/F12</f>
        <v>16.58374792703151</v>
      </c>
      <c r="L12" s="49">
        <f t="shared" ref="L12:L20" si="66">5/G12</f>
        <v>16.251354279523291</v>
      </c>
      <c r="M12" s="49">
        <f t="shared" ref="M12:M20" si="67">5/H12</f>
        <v>16.094420600858367</v>
      </c>
      <c r="N12" s="49">
        <f t="shared" ref="N12:N20" si="68">5/I12</f>
        <v>16.251354279523291</v>
      </c>
      <c r="O12" s="49">
        <f t="shared" ref="O12:O20" si="69">5/J12</f>
        <v>16.420361247947454</v>
      </c>
      <c r="P12" s="50">
        <f>(100000*K12/1000000)/(8.314*$J$76)</f>
        <v>7.3024982713465849E-4</v>
      </c>
      <c r="Q12" s="50">
        <f>(100000*L12/1000000)/(8.314*$J$76)</f>
        <v>7.1561318379555639E-4</v>
      </c>
      <c r="R12" s="50">
        <f>(100000*M12/1000000)/(8.314*$J$76)</f>
        <v>7.0870275605504145E-4</v>
      </c>
      <c r="S12" s="50">
        <f>(100000*N12/1000000)/(8.314*$J$76)</f>
        <v>7.1561318379555639E-4</v>
      </c>
      <c r="T12" s="50">
        <f>(100000*O12/1000000)/(8.314*$J$76)</f>
        <v>7.230552475569771E-4</v>
      </c>
      <c r="U12" s="52">
        <f>($H$76-P12)*10^(3)/60/$B$35</f>
        <v>17.037068470016649</v>
      </c>
      <c r="V12" s="52">
        <f>($H$76-Q12)*10^(3)/60/$B$35</f>
        <v>17.205946320935102</v>
      </c>
      <c r="W12" s="52">
        <f>($H$76-R12)*10^(3)/60/$B$35</f>
        <v>17.285678958993426</v>
      </c>
      <c r="X12" s="52">
        <f>($H$76-S12)*10^(3)/60/$B$35</f>
        <v>17.205946320935102</v>
      </c>
      <c r="Y12" s="52">
        <f>($H$76-T12)*10^(3)/60/$B$35</f>
        <v>17.120079657021165</v>
      </c>
      <c r="Z12" s="45">
        <f t="shared" si="6"/>
        <v>8.499914666852558E-2</v>
      </c>
      <c r="AA12" s="52">
        <f>($H$76-P12)*10^(3)/60/$B$35/$I$69</f>
        <v>1.1699685839311056</v>
      </c>
      <c r="AB12" s="52">
        <f>($H$76-Q12)*10^(3)/60/$B$35/$I$69</f>
        <v>1.181565753975008</v>
      </c>
      <c r="AC12" s="52">
        <f>($H$76-R12)*10^(3)/60/$B$35/$I$69</f>
        <v>1.1870411490998418</v>
      </c>
      <c r="AD12" s="52">
        <f>($H$76-S12)*10^(3)/60/$B$35/$I$69</f>
        <v>1.181565753975008</v>
      </c>
      <c r="AE12" s="52">
        <f>($H$76-T12)*10^(3)/60/$B$35/$I$69</f>
        <v>1.1756691233801919</v>
      </c>
      <c r="AF12" s="45">
        <f t="shared" si="7"/>
        <v>5.8370565005442148E-3</v>
      </c>
      <c r="AJ12" s="45"/>
      <c r="AK12" s="47"/>
      <c r="AL12" s="45"/>
      <c r="AM12" s="45"/>
      <c r="AN12" s="45"/>
      <c r="AO12" s="48"/>
      <c r="AP12" s="48"/>
      <c r="AQ12" s="48"/>
      <c r="AR12" s="48"/>
      <c r="AS12" s="48"/>
      <c r="AT12" s="49"/>
      <c r="AU12" s="49"/>
      <c r="AV12" s="49"/>
      <c r="AW12" s="49"/>
      <c r="AX12" s="49"/>
      <c r="AY12" s="50"/>
      <c r="AZ12" s="50"/>
      <c r="BA12" s="50"/>
      <c r="BB12" s="50"/>
      <c r="BC12" s="50"/>
      <c r="BD12" s="52"/>
      <c r="BE12" s="52"/>
      <c r="BF12" s="52"/>
      <c r="BG12" s="52"/>
      <c r="BH12" s="52"/>
      <c r="BI12" s="45"/>
      <c r="BJ12" s="52"/>
      <c r="BK12" s="52"/>
      <c r="BL12" s="52"/>
      <c r="BM12" s="52"/>
      <c r="BN12" s="52"/>
      <c r="BO12" s="45"/>
      <c r="BR12" s="45"/>
      <c r="BS12" s="47"/>
      <c r="BT12" s="45"/>
      <c r="BU12" s="45"/>
      <c r="BV12" s="45"/>
      <c r="BW12" s="48"/>
      <c r="BX12" s="48"/>
      <c r="BY12" s="48"/>
      <c r="BZ12" s="48"/>
      <c r="CA12" s="48"/>
      <c r="CB12" s="49"/>
      <c r="CC12" s="49"/>
      <c r="CD12" s="49"/>
      <c r="CE12" s="49"/>
      <c r="CF12" s="49"/>
      <c r="CG12" s="50"/>
      <c r="CH12" s="50"/>
      <c r="CI12" s="50"/>
      <c r="CJ12" s="50"/>
      <c r="CK12" s="50"/>
      <c r="CL12" s="52"/>
      <c r="CM12" s="52"/>
      <c r="CN12" s="52"/>
      <c r="CO12" s="52"/>
      <c r="CP12" s="52"/>
      <c r="CQ12" s="45"/>
      <c r="CR12" s="52"/>
      <c r="CS12" s="52"/>
      <c r="CT12" s="52"/>
      <c r="CU12" s="52"/>
      <c r="CV12" s="52"/>
      <c r="CW12" s="45"/>
      <c r="DA12" s="45">
        <v>6.81</v>
      </c>
      <c r="DB12" s="47">
        <v>6.74</v>
      </c>
      <c r="DC12" s="45">
        <v>6.82</v>
      </c>
      <c r="DD12" s="45">
        <v>6.87</v>
      </c>
      <c r="DE12" s="45">
        <v>6.81</v>
      </c>
      <c r="DF12" s="48">
        <f>DA12/60</f>
        <v>0.11349999999999999</v>
      </c>
      <c r="DG12" s="48">
        <f t="shared" si="25"/>
        <v>0.11233333333333334</v>
      </c>
      <c r="DH12" s="48">
        <f t="shared" si="26"/>
        <v>0.11366666666666667</v>
      </c>
      <c r="DI12" s="48">
        <f t="shared" si="27"/>
        <v>0.1145</v>
      </c>
      <c r="DJ12" s="48">
        <f t="shared" si="28"/>
        <v>0.11349999999999999</v>
      </c>
      <c r="DK12" s="49">
        <f>5/DF12</f>
        <v>44.052863436123353</v>
      </c>
      <c r="DL12" s="49">
        <f t="shared" si="29"/>
        <v>44.510385756676556</v>
      </c>
      <c r="DM12" s="49">
        <f t="shared" si="30"/>
        <v>43.988269794721411</v>
      </c>
      <c r="DN12" s="49">
        <f t="shared" si="31"/>
        <v>43.668122270742359</v>
      </c>
      <c r="DO12" s="49">
        <f t="shared" si="32"/>
        <v>44.052863436123353</v>
      </c>
      <c r="DP12" s="50">
        <f>(100660*DK12/1000000)/(8.314*$DJ$76)</f>
        <v>1.7710800097821542E-3</v>
      </c>
      <c r="DQ12" s="50">
        <f>(100660*DL12/1000000)/(8.314*$DJ$76)</f>
        <v>1.7894740158184671E-3</v>
      </c>
      <c r="DR12" s="50">
        <f>(100660*DM12/1000000)/(8.314*$DJ$76)</f>
        <v>1.7684831182722099E-3</v>
      </c>
      <c r="DS12" s="50">
        <f>(100660*DN12/1000000)/(8.314*$DJ$76)</f>
        <v>1.7556120620984674E-3</v>
      </c>
      <c r="DT12" s="50">
        <f>(100660*DO12/1000000)/(8.314*$DJ$76)</f>
        <v>1.7710800097821542E-3</v>
      </c>
      <c r="DU12" s="52">
        <f>($DH$76-DP12)*10^(3)/60/$DB$35</f>
        <v>3.0721165260005288</v>
      </c>
      <c r="DV12" s="52">
        <f>($DH$76-DQ12)*10^(3)/60/$DB$35</f>
        <v>2.8598861575187828</v>
      </c>
      <c r="DW12" s="52">
        <f>($DH$76-DR12)*10^(3)/60/$DB$35</f>
        <v>3.1020795063852558</v>
      </c>
      <c r="DX12" s="52">
        <f>($DH$76-DS12)*10^(3)/60/$DB$35</f>
        <v>3.2505859812178688</v>
      </c>
      <c r="DY12" s="52">
        <f>($DH$76-DT12)*10^(3)/60/$DB$35</f>
        <v>3.0721165260005288</v>
      </c>
      <c r="DZ12" s="45">
        <f t="shared" si="58"/>
        <v>0.12473008545349082</v>
      </c>
      <c r="EA12" s="52">
        <f>($DH$76-DP12)*10^(3)/60/$DB$35/$DI$69</f>
        <v>1.1317815724987645</v>
      </c>
      <c r="EB12" s="52">
        <f>($DH$76-DQ12)*10^(3)/60/$DB$35/$DI$69</f>
        <v>1.053594948345882</v>
      </c>
      <c r="EC12" s="52">
        <f>($DH$76-DR12)*10^(3)/60/$DB$35/$DI$69</f>
        <v>1.1428200694989823</v>
      </c>
      <c r="ED12" s="52">
        <f>($DH$76-DS12)*10^(3)/60/$DB$35/$DI$69</f>
        <v>1.1975305240633851</v>
      </c>
      <c r="EE12" s="52">
        <f>($DH$76-DT12)*10^(3)/60/$DB$35/$DI$69</f>
        <v>1.1317815724987645</v>
      </c>
      <c r="EF12" s="45">
        <f t="shared" si="33"/>
        <v>4.5951125570174063E-2</v>
      </c>
      <c r="EI12" s="45">
        <v>6.18</v>
      </c>
      <c r="EJ12" s="47">
        <v>6.08</v>
      </c>
      <c r="EK12" s="45">
        <v>6.1</v>
      </c>
      <c r="EL12" s="45">
        <v>6.09</v>
      </c>
      <c r="EM12" s="45">
        <v>6.11</v>
      </c>
      <c r="EN12" s="48">
        <f t="shared" si="59"/>
        <v>0.10299999999999999</v>
      </c>
      <c r="EO12" s="48">
        <f t="shared" si="34"/>
        <v>0.10133333333333333</v>
      </c>
      <c r="EP12" s="48">
        <f t="shared" si="35"/>
        <v>0.10166666666666666</v>
      </c>
      <c r="EQ12" s="48">
        <f t="shared" si="36"/>
        <v>0.10149999999999999</v>
      </c>
      <c r="ER12" s="48">
        <f t="shared" si="37"/>
        <v>0.10183333333333335</v>
      </c>
      <c r="ES12" s="49">
        <f t="shared" si="60"/>
        <v>48.543689320388353</v>
      </c>
      <c r="ET12" s="49">
        <f t="shared" si="38"/>
        <v>49.342105263157897</v>
      </c>
      <c r="EU12" s="49">
        <f t="shared" si="39"/>
        <v>49.180327868852466</v>
      </c>
      <c r="EV12" s="49">
        <f t="shared" si="40"/>
        <v>49.26108374384237</v>
      </c>
      <c r="EW12" s="49">
        <f t="shared" si="41"/>
        <v>49.099836333878883</v>
      </c>
      <c r="EX12" s="50">
        <f>(100000*ES12/1000000)/(8.314*$ER$76)</f>
        <v>1.9498376050257945E-3</v>
      </c>
      <c r="EY12" s="50">
        <f>(100000*ET12/1000000)/(8.314*$ER$76)</f>
        <v>1.9819073024768762E-3</v>
      </c>
      <c r="EZ12" s="50">
        <f>(100000*EU12/1000000)/(8.314*$ER$76)</f>
        <v>1.9754092457474445E-3</v>
      </c>
      <c r="FA12" s="50">
        <f>(100000*EV12/1000000)/(8.314*$ER$76)</f>
        <v>1.9786529390902153E-3</v>
      </c>
      <c r="FB12" s="50">
        <f>(100000*EW12/1000000)/(8.314*$ER$76)</f>
        <v>1.9721761700588229E-3</v>
      </c>
      <c r="FC12" s="52">
        <f>($EP$76-EX12)*10^(3)/60/$EJ$35</f>
        <v>0.97219763651886393</v>
      </c>
      <c r="FD12" s="52">
        <f>($EP$76-EY12)*10^(3)/60/$EJ$35</f>
        <v>0.60217689749634506</v>
      </c>
      <c r="FE12" s="52">
        <f>($EP$76-EZ12)*10^(3)/60/$EJ$35</f>
        <v>0.67715159150155624</v>
      </c>
      <c r="FF12" s="52">
        <f>($EP$76-FA12)*10^(3)/60/$EJ$35</f>
        <v>0.63972580007694835</v>
      </c>
      <c r="FG12" s="52">
        <f>($EP$76-FB12)*10^(3)/60/$EJ$35</f>
        <v>0.71445487624393156</v>
      </c>
      <c r="FH12" s="45">
        <f t="shared" si="61"/>
        <v>0.13098862508893772</v>
      </c>
      <c r="FI12" s="52">
        <f>($EP$76-EX12)*10^(3)/60/$EJ$35/$EQ$69</f>
        <v>2.0662856079136009</v>
      </c>
      <c r="FJ12" s="52">
        <f>($EP$76-EY12)*10^(3)/60/$EJ$35/$EQ$69</f>
        <v>1.2798523777223958</v>
      </c>
      <c r="FK12" s="52">
        <f>($EP$76-EZ12)*10^(3)/60/$EJ$35/$EQ$69</f>
        <v>1.4392017994463684</v>
      </c>
      <c r="FL12" s="52">
        <f>($EP$76-FA12)*10^(3)/60/$EJ$35/$EQ$69</f>
        <v>1.3596579173378431</v>
      </c>
      <c r="FM12" s="52">
        <f>($EP$76-FB12)*10^(3)/60/$EJ$35/$EQ$69</f>
        <v>1.5184853087820522</v>
      </c>
      <c r="FN12" s="45">
        <f t="shared" si="42"/>
        <v>0.27840009135468541</v>
      </c>
      <c r="FQ12" s="45">
        <v>5.93</v>
      </c>
      <c r="FR12" s="47">
        <v>6.1</v>
      </c>
      <c r="FS12" s="45">
        <v>6.18</v>
      </c>
      <c r="FT12" s="45">
        <v>6.06</v>
      </c>
      <c r="FU12" s="45">
        <v>6.08</v>
      </c>
      <c r="FV12" s="48">
        <f t="shared" si="62"/>
        <v>9.8833333333333329E-2</v>
      </c>
      <c r="FW12" s="48">
        <f t="shared" si="43"/>
        <v>0.10166666666666666</v>
      </c>
      <c r="FX12" s="48">
        <f t="shared" si="44"/>
        <v>0.10299999999999999</v>
      </c>
      <c r="FY12" s="48">
        <f t="shared" si="45"/>
        <v>0.10099999999999999</v>
      </c>
      <c r="FZ12" s="48">
        <f t="shared" si="46"/>
        <v>0.10133333333333333</v>
      </c>
      <c r="GA12" s="49">
        <f t="shared" si="63"/>
        <v>50.59021922428331</v>
      </c>
      <c r="GB12" s="49">
        <f t="shared" si="47"/>
        <v>49.180327868852466</v>
      </c>
      <c r="GC12" s="49">
        <f t="shared" si="48"/>
        <v>48.543689320388353</v>
      </c>
      <c r="GD12" s="49">
        <f t="shared" si="49"/>
        <v>49.504950495049506</v>
      </c>
      <c r="GE12" s="49">
        <f t="shared" si="50"/>
        <v>49.342105263157897</v>
      </c>
      <c r="GF12" s="50">
        <f>(100000*GA12/1000000)/(8.314*$FZ$76)</f>
        <v>2.0313615007662373E-3</v>
      </c>
      <c r="GG12" s="50">
        <f>(100000*GB12/1000000)/(8.314*$FZ$76)</f>
        <v>1.9747497868104567E-3</v>
      </c>
      <c r="GH12" s="50">
        <f>(100000*GC12/1000000)/(8.314*$FZ$76)</f>
        <v>1.9491866827740754E-3</v>
      </c>
      <c r="GI12" s="50">
        <f>(100000*GD12/1000000)/(8.314*$FZ$76)</f>
        <v>1.9877844388686114E-3</v>
      </c>
      <c r="GJ12" s="50">
        <f>(100000*GE12/1000000)/(8.314*$FZ$76)</f>
        <v>1.9812456742670697E-3</v>
      </c>
      <c r="GK12" s="52">
        <f>($FX$76-GF12)*10^(3)/60/$FR$35</f>
        <v>1.3182162592897732E-2</v>
      </c>
      <c r="GL12" s="52">
        <f>($FX$76-GG12)*10^(3)/60/$FR$35</f>
        <v>0.66636912412261495</v>
      </c>
      <c r="GM12" s="52">
        <f>($FX$76-GH12)*10^(3)/60/$FR$35</f>
        <v>0.96131667271360632</v>
      </c>
      <c r="GN12" s="52">
        <f>($FX$76-GI12)*10^(3)/60/$FR$35</f>
        <v>0.5159750770687932</v>
      </c>
      <c r="GO12" s="52">
        <f>($FX$76-GJ12)*10^(3)/60/$FR$35</f>
        <v>0.59141945922573025</v>
      </c>
      <c r="GP12" s="45">
        <f t="shared" si="64"/>
        <v>0.30782112729911815</v>
      </c>
      <c r="GQ12" s="52">
        <f>($FX$76-GF12)*10^(3)/60/$FR$35/$FY$69</f>
        <v>5.6787204415363148E-2</v>
      </c>
      <c r="GR12" s="52">
        <f>($FX$76-GG12)*10^(3)/60/$FR$35/$FY$69</f>
        <v>2.8706397300868893</v>
      </c>
      <c r="GS12" s="52">
        <f>($FX$76-GH12)*10^(3)/60/$FR$35/$FY$69</f>
        <v>4.1412390430305042</v>
      </c>
      <c r="GT12" s="52">
        <f>($FX$76-GI12)*10^(3)/60/$FR$35/$FY$69</f>
        <v>2.222759882397821</v>
      </c>
      <c r="GU12" s="52">
        <f>($FX$76-GJ12)*10^(3)/60/$FR$35/$FY$69</f>
        <v>2.5477653980971215</v>
      </c>
      <c r="GV12" s="45">
        <f t="shared" si="51"/>
        <v>1.3260571743152789</v>
      </c>
    </row>
    <row r="13" spans="1:204" x14ac:dyDescent="0.3">
      <c r="A13" s="45">
        <v>18.37</v>
      </c>
      <c r="B13" s="47">
        <v>18.420000000000002</v>
      </c>
      <c r="C13" s="45">
        <v>18.54</v>
      </c>
      <c r="D13" s="45">
        <v>18.600000000000001</v>
      </c>
      <c r="E13" s="45">
        <v>18.46</v>
      </c>
      <c r="F13" s="48">
        <f t="shared" si="0"/>
        <v>0.3061666666666667</v>
      </c>
      <c r="G13" s="48">
        <f t="shared" si="1"/>
        <v>0.30700000000000005</v>
      </c>
      <c r="H13" s="48">
        <f t="shared" si="2"/>
        <v>0.309</v>
      </c>
      <c r="I13" s="48">
        <f t="shared" si="3"/>
        <v>0.31</v>
      </c>
      <c r="J13" s="48">
        <f t="shared" si="4"/>
        <v>0.3076666666666667</v>
      </c>
      <c r="K13" s="49">
        <f t="shared" si="65"/>
        <v>16.33097441480675</v>
      </c>
      <c r="L13" s="49">
        <f t="shared" si="66"/>
        <v>16.286644951140062</v>
      </c>
      <c r="M13" s="49">
        <f t="shared" si="67"/>
        <v>16.181229773462782</v>
      </c>
      <c r="N13" s="49">
        <f t="shared" si="68"/>
        <v>16.129032258064516</v>
      </c>
      <c r="O13" s="49">
        <f t="shared" si="69"/>
        <v>16.251354279523291</v>
      </c>
      <c r="P13" s="50">
        <f>(100000*K13/1000000)/(8.314*$J$77)</f>
        <v>7.1911918197419553E-4</v>
      </c>
      <c r="Q13" s="50">
        <f>(100000*L13/1000000)/(8.314*$J$77)</f>
        <v>7.1716717550846746E-4</v>
      </c>
      <c r="R13" s="50">
        <f>(100000*M13/1000000)/(8.314*$J$77)</f>
        <v>7.1252531676731234E-4</v>
      </c>
      <c r="S13" s="50">
        <f>(100000*N13/1000000)/(8.314*$J$77)</f>
        <v>7.1022684800354694E-4</v>
      </c>
      <c r="T13" s="50">
        <f>(100000*O13/1000000)/(8.314*$J$77)</f>
        <v>7.1561318379555639E-4</v>
      </c>
      <c r="U13" s="52">
        <f>($H$77-P13)*10^(3)/60/$B$35</f>
        <v>17.165494051653464</v>
      </c>
      <c r="V13" s="52">
        <f>($H$77-Q13)*10^(3)/60/$B$35</f>
        <v>17.188016336939359</v>
      </c>
      <c r="W13" s="52">
        <f>($H$77-R13)*10^(3)/60/$B$35</f>
        <v>17.241574185573892</v>
      </c>
      <c r="X13" s="52">
        <f>($H$77-S13)*10^(3)/60/$B$35</f>
        <v>17.268093959010667</v>
      </c>
      <c r="Y13" s="52">
        <f>($H$77-T13)*10^(3)/60/$B$35</f>
        <v>17.205946320935102</v>
      </c>
      <c r="Z13" s="45">
        <f t="shared" si="6"/>
        <v>3.6821674195974097E-2</v>
      </c>
      <c r="AA13" s="52">
        <f>($H$77-P13)*10^(3)/60/$B$35/$I$69</f>
        <v>1.1787878180706282</v>
      </c>
      <c r="AB13" s="52">
        <f>($H$77-Q13)*10^(3)/60/$B$35/$I$69</f>
        <v>1.1803344671475631</v>
      </c>
      <c r="AC13" s="52">
        <f>($H$77-R13)*10^(3)/60/$B$35/$I$69</f>
        <v>1.1840123886418401</v>
      </c>
      <c r="AD13" s="52">
        <f>($H$77-S13)*10^(3)/60/$B$35/$I$69</f>
        <v>1.1858335529946511</v>
      </c>
      <c r="AE13" s="52">
        <f>($H$77-T13)*10^(3)/60/$B$35/$I$69</f>
        <v>1.181565753975008</v>
      </c>
      <c r="AF13" s="45">
        <f t="shared" si="7"/>
        <v>2.5286158879300425E-3</v>
      </c>
      <c r="AJ13" s="45"/>
      <c r="AK13" s="47"/>
      <c r="AL13" s="45"/>
      <c r="AM13" s="45"/>
      <c r="AN13" s="45"/>
      <c r="AO13" s="48"/>
      <c r="AP13" s="48"/>
      <c r="AQ13" s="48"/>
      <c r="AR13" s="48"/>
      <c r="AS13" s="48"/>
      <c r="AT13" s="49"/>
      <c r="AU13" s="49"/>
      <c r="AV13" s="49"/>
      <c r="AW13" s="49"/>
      <c r="AX13" s="49"/>
      <c r="AY13" s="50"/>
      <c r="AZ13" s="50"/>
      <c r="BA13" s="50"/>
      <c r="BB13" s="50"/>
      <c r="BC13" s="50"/>
      <c r="BD13" s="52"/>
      <c r="BE13" s="52"/>
      <c r="BF13" s="52"/>
      <c r="BG13" s="52"/>
      <c r="BH13" s="52"/>
      <c r="BI13" s="45"/>
      <c r="BJ13" s="52"/>
      <c r="BK13" s="52"/>
      <c r="BL13" s="52"/>
      <c r="BM13" s="52"/>
      <c r="BN13" s="52"/>
      <c r="BO13" s="45"/>
      <c r="BR13" s="45"/>
      <c r="BS13" s="47"/>
      <c r="BT13" s="45"/>
      <c r="BU13" s="45"/>
      <c r="BV13" s="45"/>
      <c r="BW13" s="48"/>
      <c r="BX13" s="48"/>
      <c r="BY13" s="48"/>
      <c r="BZ13" s="48"/>
      <c r="CA13" s="48"/>
      <c r="CB13" s="49"/>
      <c r="CC13" s="49"/>
      <c r="CD13" s="49"/>
      <c r="CE13" s="49"/>
      <c r="CF13" s="49"/>
      <c r="CG13" s="50"/>
      <c r="CH13" s="50"/>
      <c r="CI13" s="50"/>
      <c r="CJ13" s="50"/>
      <c r="CK13" s="50"/>
      <c r="CL13" s="52"/>
      <c r="CM13" s="52"/>
      <c r="CN13" s="52"/>
      <c r="CO13" s="52"/>
      <c r="CP13" s="52"/>
      <c r="CQ13" s="45"/>
      <c r="CR13" s="52"/>
      <c r="CS13" s="52"/>
      <c r="CT13" s="52"/>
      <c r="CU13" s="52"/>
      <c r="CV13" s="52"/>
      <c r="CW13" s="45"/>
      <c r="DA13" s="45">
        <v>6.81</v>
      </c>
      <c r="DB13" s="47">
        <v>6.9</v>
      </c>
      <c r="DC13" s="45">
        <v>6.93</v>
      </c>
      <c r="DD13" s="45">
        <v>6.81</v>
      </c>
      <c r="DE13" s="45">
        <v>6.79</v>
      </c>
      <c r="DF13" s="48">
        <f>DA13/60</f>
        <v>0.11349999999999999</v>
      </c>
      <c r="DG13" s="48">
        <f t="shared" si="25"/>
        <v>0.115</v>
      </c>
      <c r="DH13" s="48">
        <f t="shared" si="26"/>
        <v>0.11549999999999999</v>
      </c>
      <c r="DI13" s="48">
        <f t="shared" si="27"/>
        <v>0.11349999999999999</v>
      </c>
      <c r="DJ13" s="48">
        <f t="shared" si="28"/>
        <v>0.11316666666666667</v>
      </c>
      <c r="DK13" s="49">
        <f>5/DF13</f>
        <v>44.052863436123353</v>
      </c>
      <c r="DL13" s="49">
        <f t="shared" si="29"/>
        <v>43.478260869565219</v>
      </c>
      <c r="DM13" s="49">
        <f t="shared" si="30"/>
        <v>43.290043290043293</v>
      </c>
      <c r="DN13" s="49">
        <f t="shared" si="31"/>
        <v>44.052863436123353</v>
      </c>
      <c r="DO13" s="49">
        <f t="shared" si="32"/>
        <v>44.18262150220913</v>
      </c>
      <c r="DP13" s="50">
        <f>(100660*DK13/1000000)/(8.314*$DJ$77)</f>
        <v>1.7681443558624091E-3</v>
      </c>
      <c r="DQ13" s="50">
        <f>(100660*DL13/1000000)/(8.314*$DJ$77)</f>
        <v>1.7450816033946382E-3</v>
      </c>
      <c r="DR13" s="50">
        <f>(100660*DM13/1000000)/(8.314*$DJ$77)</f>
        <v>1.737527137579077E-3</v>
      </c>
      <c r="DS13" s="50">
        <f>(100660*DN13/1000000)/(8.314*$DJ$77)</f>
        <v>1.7681443558624091E-3</v>
      </c>
      <c r="DT13" s="50">
        <f>(100660*DO13/1000000)/(8.314*$DJ$77)</f>
        <v>1.773352439384831E-3</v>
      </c>
      <c r="DU13" s="52">
        <f>($DH$77-DP13)*10^(3)/60/$DB$35</f>
        <v>3.0670243388200209</v>
      </c>
      <c r="DV13" s="52">
        <f>($DH$77-DQ13)*10^(3)/60/$DB$35</f>
        <v>3.3331227865847719</v>
      </c>
      <c r="DW13" s="52">
        <f>($DH$77-DR13)*10^(3)/60/$DB$35</f>
        <v>3.4202863473965999</v>
      </c>
      <c r="DX13" s="52">
        <f>($DH$77-DS13)*10^(3)/60/$DB$35</f>
        <v>3.0670243388200209</v>
      </c>
      <c r="DY13" s="52">
        <f>($DH$77-DT13)*10^(3)/60/$DB$35</f>
        <v>3.0069333785982386</v>
      </c>
      <c r="DZ13" s="45">
        <f t="shared" si="58"/>
        <v>0.16532203739900023</v>
      </c>
      <c r="EA13" s="52">
        <f>($DH$77-DP13)*10^(3)/60/$DB$35/$DI$69</f>
        <v>1.1299055877938107</v>
      </c>
      <c r="EB13" s="52">
        <f>($DH$77-DQ13)*10^(3)/60/$DB$35/$DI$69</f>
        <v>1.2279374551080189</v>
      </c>
      <c r="EC13" s="52">
        <f>($DH$77-DR13)*10^(3)/60/$DB$35/$DI$69</f>
        <v>1.2600489037087761</v>
      </c>
      <c r="ED13" s="52">
        <f>($DH$77-DS13)*10^(3)/60/$DB$35/$DI$69</f>
        <v>1.1299055877938107</v>
      </c>
      <c r="EE13" s="52">
        <f>($DH$77-DT13)*10^(3)/60/$DB$35/$DI$69</f>
        <v>1.1077678072515769</v>
      </c>
      <c r="EF13" s="45">
        <f t="shared" si="33"/>
        <v>6.0905383592245899E-2</v>
      </c>
      <c r="EI13" s="45">
        <v>6.06</v>
      </c>
      <c r="EJ13" s="47">
        <v>6.21</v>
      </c>
      <c r="EK13" s="45">
        <v>5.97</v>
      </c>
      <c r="EL13" s="45">
        <v>6.12</v>
      </c>
      <c r="EM13" s="45">
        <v>6.12</v>
      </c>
      <c r="EN13" s="48">
        <f t="shared" si="59"/>
        <v>0.10099999999999999</v>
      </c>
      <c r="EO13" s="48">
        <f t="shared" si="34"/>
        <v>0.10349999999999999</v>
      </c>
      <c r="EP13" s="48">
        <f t="shared" si="35"/>
        <v>9.9499999999999991E-2</v>
      </c>
      <c r="EQ13" s="48">
        <f t="shared" si="36"/>
        <v>0.10200000000000001</v>
      </c>
      <c r="ER13" s="48">
        <f t="shared" si="37"/>
        <v>0.10200000000000001</v>
      </c>
      <c r="ES13" s="49">
        <f t="shared" si="60"/>
        <v>49.504950495049506</v>
      </c>
      <c r="ET13" s="49">
        <f t="shared" si="38"/>
        <v>48.309178743961354</v>
      </c>
      <c r="EU13" s="49">
        <f t="shared" si="39"/>
        <v>50.251256281407038</v>
      </c>
      <c r="EV13" s="49">
        <f t="shared" si="40"/>
        <v>49.019607843137251</v>
      </c>
      <c r="EW13" s="49">
        <f t="shared" si="41"/>
        <v>49.019607843137251</v>
      </c>
      <c r="EX13" s="50">
        <f>(100000*ES13/1000000)/(8.314*$ER$77)</f>
        <v>1.9844720168741624E-3</v>
      </c>
      <c r="EY13" s="50">
        <f>(100000*ET13/1000000)/(8.314*$ER$77)</f>
        <v>1.9365379101863808E-3</v>
      </c>
      <c r="EZ13" s="50">
        <f>(100000*EU13/1000000)/(8.314*$ER$77)</f>
        <v>2.0143886804451301E-3</v>
      </c>
      <c r="FA13" s="50">
        <f>(100000*EV13/1000000)/(8.314*$ER$77)</f>
        <v>1.965016408865592E-3</v>
      </c>
      <c r="FB13" s="50">
        <f>(100000*EW13/1000000)/(8.314*$ER$77)</f>
        <v>1.965016408865592E-3</v>
      </c>
      <c r="FC13" s="52">
        <f>($EP$77-EX13)*10^(3)/60/$EJ$35</f>
        <v>0.52565408192024865</v>
      </c>
      <c r="FD13" s="52">
        <f>($EP$77-EY13)*10^(3)/60/$EJ$35</f>
        <v>1.0787186566033171</v>
      </c>
      <c r="FE13" s="52">
        <f>($EP$77-EZ13)*10^(3)/60/$EJ$35</f>
        <v>0.18047508606276894</v>
      </c>
      <c r="FF13" s="52">
        <f>($EP$77-FA13)*10^(3)/60/$EJ$35</f>
        <v>0.75013323282102617</v>
      </c>
      <c r="FG13" s="52">
        <f>($EP$77-FB13)*10^(3)/60/$EJ$35</f>
        <v>0.75013323282102617</v>
      </c>
      <c r="FH13" s="45">
        <f t="shared" si="61"/>
        <v>0.29648674999916758</v>
      </c>
      <c r="FI13" s="52">
        <f>($EP$77-EX13)*10^(3)/60/$EJ$35/$EQ$69</f>
        <v>1.1172126154328206</v>
      </c>
      <c r="FJ13" s="52">
        <f>($EP$77-EY13)*10^(3)/60/$EJ$35/$EQ$69</f>
        <v>2.2926828367002297</v>
      </c>
      <c r="FK13" s="52">
        <f>($EP$77-EZ13)*10^(3)/60/$EJ$35/$EQ$69</f>
        <v>0.38357743210912665</v>
      </c>
      <c r="FL13" s="52">
        <f>($EP$77-FA13)*10^(3)/60/$EJ$35/$EQ$69</f>
        <v>1.5943152346531277</v>
      </c>
      <c r="FM13" s="52">
        <f>($EP$77-FB13)*10^(3)/60/$EJ$35/$EQ$69</f>
        <v>1.5943152346531277</v>
      </c>
      <c r="FN13" s="45">
        <f t="shared" si="42"/>
        <v>0.63014584838323728</v>
      </c>
      <c r="FQ13" s="45">
        <v>6.13</v>
      </c>
      <c r="FR13" s="47">
        <v>5.98</v>
      </c>
      <c r="FS13" s="45">
        <v>6.17</v>
      </c>
      <c r="FT13" s="45">
        <v>6.03</v>
      </c>
      <c r="FU13" s="45">
        <v>6.05</v>
      </c>
      <c r="FV13" s="48">
        <f t="shared" si="62"/>
        <v>0.10216666666666667</v>
      </c>
      <c r="FW13" s="48">
        <f t="shared" si="43"/>
        <v>9.9666666666666667E-2</v>
      </c>
      <c r="FX13" s="48">
        <f t="shared" si="44"/>
        <v>0.10283333333333333</v>
      </c>
      <c r="FY13" s="48">
        <f t="shared" si="45"/>
        <v>0.10050000000000001</v>
      </c>
      <c r="FZ13" s="48">
        <f t="shared" si="46"/>
        <v>0.10083333333333333</v>
      </c>
      <c r="GA13" s="49">
        <f t="shared" si="63"/>
        <v>48.939641109298528</v>
      </c>
      <c r="GB13" s="49">
        <f t="shared" si="47"/>
        <v>50.167224080267559</v>
      </c>
      <c r="GC13" s="49">
        <f t="shared" si="48"/>
        <v>48.622366288492707</v>
      </c>
      <c r="GD13" s="49">
        <f t="shared" si="49"/>
        <v>49.751243781094523</v>
      </c>
      <c r="GE13" s="49">
        <f t="shared" si="50"/>
        <v>49.586776859504134</v>
      </c>
      <c r="GF13" s="50">
        <f>(100000*GA13/1000000)/(8.314*$FZ$77)</f>
        <v>1.9565941207353174E-3</v>
      </c>
      <c r="GG13" s="50">
        <f>(100000*GB13/1000000)/(8.314*$FZ$77)</f>
        <v>2.005672568579849E-3</v>
      </c>
      <c r="GH13" s="50">
        <f>(100000*GC13/1000000)/(8.314*$FZ$77)</f>
        <v>1.9439095559331439E-3</v>
      </c>
      <c r="GI13" s="50">
        <f>(100000*GD13/1000000)/(8.314*$FZ$77)</f>
        <v>1.9890417844291041E-3</v>
      </c>
      <c r="GJ13" s="50">
        <f>(100000*GE13/1000000)/(8.314*$FZ$77)</f>
        <v>1.9824664396871899E-3</v>
      </c>
      <c r="GK13" s="52">
        <f>($FX$77-GF13)*10^(3)/60/$FR$35</f>
        <v>0.77451534397280408</v>
      </c>
      <c r="GL13" s="52">
        <f>($FX$77-GG13)*10^(3)/60/$FR$35</f>
        <v>0.20824734068987374</v>
      </c>
      <c r="GM13" s="52">
        <f>($FX$77-GH13)*10^(3)/60/$FR$35</f>
        <v>0.92087007804657317</v>
      </c>
      <c r="GN13" s="52">
        <f>($FX$77-GI13)*10^(3)/60/$FR$35</f>
        <v>0.40013362372604422</v>
      </c>
      <c r="GO13" s="52">
        <f>($FX$77-GJ13)*10^(3)/60/$FR$35</f>
        <v>0.47600006819257523</v>
      </c>
      <c r="GP13" s="45">
        <f t="shared" si="64"/>
        <v>0.25787801259347776</v>
      </c>
      <c r="GQ13" s="52">
        <f>($FX$77-GF13)*10^(3)/60/$FR$35/$FY$69</f>
        <v>3.3365209123361743</v>
      </c>
      <c r="GR13" s="52">
        <f>($FX$77-GG13)*10^(3)/60/$FR$35/$FY$69</f>
        <v>0.89710502517114399</v>
      </c>
      <c r="GS13" s="52">
        <f>($FX$77-GH13)*10^(3)/60/$FR$35/$FY$69</f>
        <v>3.9669998752857794</v>
      </c>
      <c r="GT13" s="52">
        <f>($FX$77-GI13)*10^(3)/60/$FR$35/$FY$69</f>
        <v>1.723728540280125</v>
      </c>
      <c r="GU13" s="52">
        <f>($FX$77-GJ13)*10^(3)/60/$FR$35/$FY$69</f>
        <v>2.0505522507165965</v>
      </c>
      <c r="GV13" s="45">
        <f t="shared" si="51"/>
        <v>1.1109081163407422</v>
      </c>
    </row>
    <row r="14" spans="1:204" x14ac:dyDescent="0.3">
      <c r="A14" s="45">
        <v>17.43</v>
      </c>
      <c r="B14" s="47">
        <v>18.309999999999999</v>
      </c>
      <c r="C14" s="45">
        <v>19.11</v>
      </c>
      <c r="D14" s="45">
        <v>18.59</v>
      </c>
      <c r="E14" s="45">
        <v>18.78</v>
      </c>
      <c r="F14" s="48">
        <f t="shared" si="0"/>
        <v>0.29049999999999998</v>
      </c>
      <c r="G14" s="48">
        <f t="shared" si="1"/>
        <v>0.30516666666666664</v>
      </c>
      <c r="H14" s="48">
        <f t="shared" si="2"/>
        <v>0.31850000000000001</v>
      </c>
      <c r="I14" s="48">
        <f t="shared" si="3"/>
        <v>0.30983333333333335</v>
      </c>
      <c r="J14" s="48">
        <f t="shared" si="4"/>
        <v>0.313</v>
      </c>
      <c r="K14" s="49">
        <f t="shared" si="65"/>
        <v>17.211703958691913</v>
      </c>
      <c r="L14" s="49">
        <f t="shared" si="66"/>
        <v>16.384489350081925</v>
      </c>
      <c r="M14" s="49">
        <f t="shared" si="67"/>
        <v>15.698587127158556</v>
      </c>
      <c r="N14" s="49">
        <f t="shared" si="68"/>
        <v>16.137708445400751</v>
      </c>
      <c r="O14" s="49">
        <f t="shared" si="69"/>
        <v>15.974440894568691</v>
      </c>
      <c r="P14" s="50">
        <f>(100000*K14/1000000)/(8.314*$J$78)</f>
        <v>7.5790128358381957E-4</v>
      </c>
      <c r="Q14" s="50">
        <f>(100000*L14/1000000)/(8.314*$J$78)</f>
        <v>7.214756620898948E-4</v>
      </c>
      <c r="R14" s="50">
        <f>(100000*M14/1000000)/(8.314*$J$78)</f>
        <v>6.9127259931271441E-4</v>
      </c>
      <c r="S14" s="50">
        <f>(100000*N14/1000000)/(8.314*$J$78)</f>
        <v>7.1060889579698612E-4</v>
      </c>
      <c r="T14" s="50">
        <f>(100000*O14/1000000)/(8.314*$J$78)</f>
        <v>7.0341956192044588E-4</v>
      </c>
      <c r="U14" s="52">
        <f>($H$78-P14)*10^(3)/60/$B$35</f>
        <v>16.718025474180013</v>
      </c>
      <c r="V14" s="52">
        <f>($H$78-Q14)*10^(3)/60/$B$35</f>
        <v>17.138304942207299</v>
      </c>
      <c r="W14" s="52">
        <f>($H$78-R14)*10^(3)/60/$B$35</f>
        <v>17.486788417194958</v>
      </c>
      <c r="X14" s="52">
        <f>($H$78-S14)*10^(3)/60/$B$35</f>
        <v>17.26368588478153</v>
      </c>
      <c r="Y14" s="52">
        <f>($H$78-T14)*10^(3)/60/$B$35</f>
        <v>17.346636546793075</v>
      </c>
      <c r="Z14" s="45">
        <f t="shared" si="6"/>
        <v>0.26209843400920985</v>
      </c>
      <c r="AA14" s="52">
        <f>($H$78-P14)*10^(3)/60/$B$35/$I$69</f>
        <v>1.1480592817111233</v>
      </c>
      <c r="AB14" s="52">
        <f>($H$78-Q14)*10^(3)/60/$B$35/$I$69</f>
        <v>1.1769206891139616</v>
      </c>
      <c r="AC14" s="52">
        <f>($H$78-R14)*10^(3)/60/$B$35/$I$69</f>
        <v>1.2008517262212102</v>
      </c>
      <c r="AD14" s="52">
        <f>($H$78-S14)*10^(3)/60/$B$35/$I$69</f>
        <v>1.1855308419752759</v>
      </c>
      <c r="AE14" s="52">
        <f>($H$78-T14)*10^(3)/60/$B$35/$I$69</f>
        <v>1.1912272250555336</v>
      </c>
      <c r="AF14" s="45">
        <f t="shared" si="7"/>
        <v>1.7998808552538281E-2</v>
      </c>
      <c r="AJ14" s="45"/>
      <c r="AK14" s="47"/>
      <c r="AL14" s="45"/>
      <c r="AM14" s="45"/>
      <c r="AN14" s="45"/>
      <c r="AO14" s="48"/>
      <c r="AP14" s="48"/>
      <c r="AQ14" s="48"/>
      <c r="AR14" s="48"/>
      <c r="AS14" s="48"/>
      <c r="AT14" s="49"/>
      <c r="AU14" s="49"/>
      <c r="AV14" s="49"/>
      <c r="AW14" s="49"/>
      <c r="AX14" s="49"/>
      <c r="AY14" s="50"/>
      <c r="AZ14" s="50"/>
      <c r="BA14" s="50"/>
      <c r="BB14" s="50"/>
      <c r="BC14" s="50"/>
      <c r="BD14" s="52"/>
      <c r="BE14" s="52"/>
      <c r="BF14" s="52"/>
      <c r="BG14" s="52"/>
      <c r="BH14" s="52"/>
      <c r="BI14" s="45"/>
      <c r="BJ14" s="52"/>
      <c r="BK14" s="52"/>
      <c r="BL14" s="52"/>
      <c r="BM14" s="52"/>
      <c r="BN14" s="52"/>
      <c r="BO14" s="45"/>
      <c r="BR14" s="45"/>
      <c r="BS14" s="47"/>
      <c r="BT14" s="45"/>
      <c r="BU14" s="45"/>
      <c r="BV14" s="45"/>
      <c r="BW14" s="48"/>
      <c r="BX14" s="48"/>
      <c r="BY14" s="48"/>
      <c r="BZ14" s="48"/>
      <c r="CA14" s="48"/>
      <c r="CB14" s="49"/>
      <c r="CC14" s="49"/>
      <c r="CD14" s="49"/>
      <c r="CE14" s="49"/>
      <c r="CF14" s="49"/>
      <c r="CG14" s="50"/>
      <c r="CH14" s="50"/>
      <c r="CI14" s="50"/>
      <c r="CJ14" s="50"/>
      <c r="CK14" s="50"/>
      <c r="CL14" s="52"/>
      <c r="CM14" s="52"/>
      <c r="CN14" s="52"/>
      <c r="CO14" s="52"/>
      <c r="CP14" s="52"/>
      <c r="CQ14" s="45"/>
      <c r="CR14" s="52"/>
      <c r="CS14" s="52"/>
      <c r="CT14" s="52"/>
      <c r="CU14" s="52"/>
      <c r="CV14" s="52"/>
      <c r="CW14" s="45"/>
      <c r="DA14" s="45">
        <v>6.9</v>
      </c>
      <c r="DB14" s="47">
        <v>6.85</v>
      </c>
      <c r="DC14" s="45">
        <v>6.92</v>
      </c>
      <c r="DD14" s="45">
        <v>6.93</v>
      </c>
      <c r="DE14" s="45">
        <v>6.83</v>
      </c>
      <c r="DF14" s="48">
        <f>DA14/60</f>
        <v>0.115</v>
      </c>
      <c r="DG14" s="48">
        <f t="shared" si="25"/>
        <v>0.11416666666666667</v>
      </c>
      <c r="DH14" s="48">
        <f t="shared" si="26"/>
        <v>0.11533333333333333</v>
      </c>
      <c r="DI14" s="48">
        <f t="shared" si="27"/>
        <v>0.11549999999999999</v>
      </c>
      <c r="DJ14" s="48">
        <f t="shared" si="28"/>
        <v>0.11383333333333333</v>
      </c>
      <c r="DK14" s="49">
        <f>5/DF14</f>
        <v>43.478260869565219</v>
      </c>
      <c r="DL14" s="49">
        <f t="shared" si="29"/>
        <v>43.795620437956202</v>
      </c>
      <c r="DM14" s="49">
        <f t="shared" si="30"/>
        <v>43.352601156069369</v>
      </c>
      <c r="DN14" s="49">
        <f t="shared" si="31"/>
        <v>43.290043290043293</v>
      </c>
      <c r="DO14" s="49">
        <f t="shared" si="32"/>
        <v>43.923865300146417</v>
      </c>
      <c r="DP14" s="50">
        <f>(100660*DK14/1000000)/(8.314*$DJ$78)</f>
        <v>1.7462393951368142E-3</v>
      </c>
      <c r="DQ14" s="50">
        <f>(100660*DL14/1000000)/(8.314*$DJ$78)</f>
        <v>1.7589856680940176E-3</v>
      </c>
      <c r="DR14" s="50">
        <f>(100660*DM14/1000000)/(8.314*$DJ$78)</f>
        <v>1.7411924604687889E-3</v>
      </c>
      <c r="DS14" s="50">
        <f>(100660*DN14/1000000)/(8.314*$DJ$78)</f>
        <v>1.7386799172357892E-3</v>
      </c>
      <c r="DT14" s="50">
        <f>(100660*DO14/1000000)/(8.314*$DJ$78)</f>
        <v>1.7641364313973674E-3</v>
      </c>
      <c r="DU14" s="52">
        <f>($DH$78-DP14)*10^(3)/60/$DB$35</f>
        <v>3.3353341800407894</v>
      </c>
      <c r="DV14" s="52">
        <f>($DH$78-DQ14)*10^(3)/60/$DB$35</f>
        <v>3.1882674561778219</v>
      </c>
      <c r="DW14" s="52">
        <f>($DH$78-DR14)*10^(3)/60/$DB$35</f>
        <v>3.3935658019171639</v>
      </c>
      <c r="DX14" s="52">
        <f>($DH$78-DS14)*10^(3)/60/$DB$35</f>
        <v>3.4225555703837576</v>
      </c>
      <c r="DY14" s="52">
        <f>($DH$78-DT14)*10^(3)/60/$DB$35</f>
        <v>3.1288378576621905</v>
      </c>
      <c r="DZ14" s="45">
        <f t="shared" si="58"/>
        <v>0.11541740587211259</v>
      </c>
      <c r="EA14" s="52">
        <f>($DH$78-DP14)*10^(3)/60/$DB$35/$DI$69</f>
        <v>1.2287521424227359</v>
      </c>
      <c r="EB14" s="52">
        <f>($DH$78-DQ14)*10^(3)/60/$DB$35/$DI$69</f>
        <v>1.1745720986037071</v>
      </c>
      <c r="EC14" s="52">
        <f>($DH$78-DR14)*10^(3)/60/$DB$35/$DI$69</f>
        <v>1.2502049343395178</v>
      </c>
      <c r="ED14" s="52">
        <f>($DH$78-DS14)*10^(3)/60/$DB$35/$DI$69</f>
        <v>1.2608848956833705</v>
      </c>
      <c r="EE14" s="52">
        <f>($DH$78-DT14)*10^(3)/60/$DB$35/$DI$69</f>
        <v>1.1526779666944087</v>
      </c>
      <c r="EF14" s="45">
        <f t="shared" si="33"/>
        <v>4.2520292445328005E-2</v>
      </c>
      <c r="EI14" s="45">
        <v>6.13</v>
      </c>
      <c r="EJ14" s="47">
        <v>6.11</v>
      </c>
      <c r="EK14" s="45">
        <v>6.14</v>
      </c>
      <c r="EL14" s="45">
        <v>6.06</v>
      </c>
      <c r="EM14" s="45">
        <v>6.08</v>
      </c>
      <c r="EN14" s="48">
        <f t="shared" si="59"/>
        <v>0.10216666666666667</v>
      </c>
      <c r="EO14" s="48">
        <f t="shared" si="34"/>
        <v>0.10183333333333335</v>
      </c>
      <c r="EP14" s="48">
        <f t="shared" si="35"/>
        <v>0.10233333333333333</v>
      </c>
      <c r="EQ14" s="48">
        <f t="shared" si="36"/>
        <v>0.10099999999999999</v>
      </c>
      <c r="ER14" s="48">
        <f t="shared" si="37"/>
        <v>0.10133333333333333</v>
      </c>
      <c r="ES14" s="49">
        <f t="shared" si="60"/>
        <v>48.939641109298528</v>
      </c>
      <c r="ET14" s="49">
        <f t="shared" si="38"/>
        <v>49.099836333878883</v>
      </c>
      <c r="EU14" s="49">
        <f t="shared" si="39"/>
        <v>48.859934853420199</v>
      </c>
      <c r="EV14" s="49">
        <f t="shared" si="40"/>
        <v>49.504950495049506</v>
      </c>
      <c r="EW14" s="49">
        <f t="shared" si="41"/>
        <v>49.342105263157897</v>
      </c>
      <c r="EX14" s="50">
        <f>(100000*ES14/1000000)/(8.314*$ER$78)</f>
        <v>1.9598513108813722E-3</v>
      </c>
      <c r="EY14" s="50">
        <f>(100000*ET14/1000000)/(8.314*$ER$78)</f>
        <v>1.9662665361215733E-3</v>
      </c>
      <c r="EZ14" s="50">
        <f>(100000*EU14/1000000)/(8.314*$ER$78)</f>
        <v>1.9566593706356375E-3</v>
      </c>
      <c r="FA14" s="50">
        <f>(100000*EV14/1000000)/(8.314*$ER$78)</f>
        <v>1.9824898573767018E-3</v>
      </c>
      <c r="FB14" s="50">
        <f>(100000*EW14/1000000)/(8.314*$ER$78)</f>
        <v>1.9759685091616471E-3</v>
      </c>
      <c r="FC14" s="52">
        <f>($EP$78-EX14)*10^(3)/60/$EJ$35</f>
        <v>0.78633299210398777</v>
      </c>
      <c r="FD14" s="52">
        <f>($EP$78-EY14)*10^(3)/60/$EJ$35</f>
        <v>0.71231400929331368</v>
      </c>
      <c r="FE14" s="52">
        <f>($EP$78-EZ14)*10^(3)/60/$EJ$35</f>
        <v>0.8231616553754153</v>
      </c>
      <c r="FF14" s="52">
        <f>($EP$78-FA14)*10^(3)/60/$EJ$35</f>
        <v>0.52512904038678887</v>
      </c>
      <c r="FG14" s="52">
        <f>($EP$78-FB14)*10^(3)/60/$EJ$35</f>
        <v>0.60037247196697419</v>
      </c>
      <c r="FH14" s="45">
        <f t="shared" si="61"/>
        <v>0.11200363110884944</v>
      </c>
      <c r="FI14" s="52">
        <f>($EP$78-EX14)*10^(3)/60/$EJ$35/$EQ$69</f>
        <v>1.6712533373666381</v>
      </c>
      <c r="FJ14" s="52">
        <f>($EP$78-EY14)*10^(3)/60/$EJ$35/$EQ$69</f>
        <v>1.513935161361041</v>
      </c>
      <c r="FK14" s="52">
        <f>($EP$78-EZ14)*10^(3)/60/$EJ$35/$EQ$69</f>
        <v>1.7495280975778766</v>
      </c>
      <c r="FL14" s="52">
        <f>($EP$78-FA14)*10^(3)/60/$EJ$35/$EQ$69</f>
        <v>1.1160967047132375</v>
      </c>
      <c r="FM14" s="52">
        <f>($EP$78-FB14)*10^(3)/60/$EJ$35/$EQ$69</f>
        <v>1.2760172948525779</v>
      </c>
      <c r="FN14" s="45">
        <f t="shared" si="42"/>
        <v>0.23804983914892375</v>
      </c>
      <c r="FQ14" s="45">
        <v>6.05</v>
      </c>
      <c r="FR14" s="47">
        <v>6.11</v>
      </c>
      <c r="FS14" s="45">
        <v>6.11</v>
      </c>
      <c r="FT14" s="45">
        <v>6.02</v>
      </c>
      <c r="FU14" s="45">
        <v>6.2</v>
      </c>
      <c r="FV14" s="48">
        <f t="shared" si="62"/>
        <v>0.10083333333333333</v>
      </c>
      <c r="FW14" s="48">
        <f t="shared" si="43"/>
        <v>0.10183333333333335</v>
      </c>
      <c r="FX14" s="48">
        <f t="shared" si="44"/>
        <v>0.10183333333333335</v>
      </c>
      <c r="FY14" s="48">
        <f t="shared" si="45"/>
        <v>0.10033333333333333</v>
      </c>
      <c r="FZ14" s="48">
        <f t="shared" si="46"/>
        <v>0.10333333333333333</v>
      </c>
      <c r="GA14" s="49">
        <f t="shared" si="63"/>
        <v>49.586776859504134</v>
      </c>
      <c r="GB14" s="49">
        <f t="shared" si="47"/>
        <v>49.099836333878883</v>
      </c>
      <c r="GC14" s="49">
        <f t="shared" si="48"/>
        <v>49.099836333878883</v>
      </c>
      <c r="GD14" s="49">
        <f t="shared" si="49"/>
        <v>49.833887043189371</v>
      </c>
      <c r="GE14" s="49">
        <f t="shared" si="50"/>
        <v>48.387096774193552</v>
      </c>
      <c r="GF14" s="50">
        <f>(100000*GA14/1000000)/(8.314*$FZ$78)</f>
        <v>1.9897415458878763E-3</v>
      </c>
      <c r="GG14" s="50">
        <f>(100000*GB14/1000000)/(8.314*$FZ$78)</f>
        <v>1.9702023490379135E-3</v>
      </c>
      <c r="GH14" s="50">
        <f>(100000*GC14/1000000)/(8.314*$FZ$78)</f>
        <v>1.9702023490379135E-3</v>
      </c>
      <c r="GI14" s="50">
        <f>(100000*GD14/1000000)/(8.314*$FZ$78)</f>
        <v>1.999657201432168E-3</v>
      </c>
      <c r="GJ14" s="50">
        <f>(100000*GE14/1000000)/(8.314*$FZ$78)</f>
        <v>1.9416026375196212E-3</v>
      </c>
      <c r="GK14" s="52">
        <f>($FX$78-GF14)*10^(3)/60/$FR$35</f>
        <v>0.47774685743364986</v>
      </c>
      <c r="GL14" s="52">
        <f>($FX$78-GG14)*10^(3)/60/$FR$35</f>
        <v>0.70319045787166545</v>
      </c>
      <c r="GM14" s="52">
        <f>($FX$78-GH14)*10^(3)/60/$FR$35</f>
        <v>0.70319045787166545</v>
      </c>
      <c r="GN14" s="52">
        <f>($FX$78-GI14)*10^(3)/60/$FR$35</f>
        <v>0.36333984757681714</v>
      </c>
      <c r="GO14" s="52">
        <f>($FX$78-GJ14)*10^(3)/60/$FR$35</f>
        <v>1.03317443754505</v>
      </c>
      <c r="GP14" s="45">
        <f t="shared" si="64"/>
        <v>0.22984277242022133</v>
      </c>
      <c r="GQ14" s="52">
        <f>($FX$78-GF14)*10^(3)/60/$FR$35/$FY$69</f>
        <v>2.0580772131045513</v>
      </c>
      <c r="GR14" s="52">
        <f>($FX$78-GG14)*10^(3)/60/$FR$35/$FY$69</f>
        <v>3.0292617006260949</v>
      </c>
      <c r="GS14" s="52">
        <f>($FX$78-GH14)*10^(3)/60/$FR$35/$FY$69</f>
        <v>3.0292617006260949</v>
      </c>
      <c r="GT14" s="52">
        <f>($FX$78-GI14)*10^(3)/60/$FR$35/$FY$69</f>
        <v>1.5652252846363961</v>
      </c>
      <c r="GU14" s="52">
        <f>($FX$78-GJ14)*10^(3)/60/$FR$35/$FY$69</f>
        <v>4.4507938335709296</v>
      </c>
      <c r="GV14" s="45">
        <f t="shared" si="51"/>
        <v>0.99013560247338361</v>
      </c>
    </row>
    <row r="15" spans="1:204" x14ac:dyDescent="0.3">
      <c r="A15" s="45">
        <v>18.399999999999999</v>
      </c>
      <c r="B15" s="47">
        <v>18.559999999999999</v>
      </c>
      <c r="C15" s="45">
        <v>18.75</v>
      </c>
      <c r="D15" s="45">
        <v>18.59</v>
      </c>
      <c r="E15" s="45">
        <v>18.600000000000001</v>
      </c>
      <c r="F15" s="48">
        <f t="shared" si="0"/>
        <v>0.30666666666666664</v>
      </c>
      <c r="G15" s="48">
        <f t="shared" si="1"/>
        <v>0.30933333333333329</v>
      </c>
      <c r="H15" s="48">
        <f t="shared" si="2"/>
        <v>0.3125</v>
      </c>
      <c r="I15" s="48">
        <f t="shared" si="3"/>
        <v>0.30983333333333335</v>
      </c>
      <c r="J15" s="48">
        <f t="shared" si="4"/>
        <v>0.31</v>
      </c>
      <c r="K15" s="49">
        <f t="shared" si="65"/>
        <v>16.304347826086957</v>
      </c>
      <c r="L15" s="49">
        <f t="shared" si="66"/>
        <v>16.163793103448278</v>
      </c>
      <c r="M15" s="49">
        <f t="shared" si="67"/>
        <v>16</v>
      </c>
      <c r="N15" s="49">
        <f t="shared" si="68"/>
        <v>16.137708445400751</v>
      </c>
      <c r="O15" s="49">
        <f t="shared" si="69"/>
        <v>16.129032258064516</v>
      </c>
      <c r="P15" s="50">
        <f>(100000*K15/1000000)/(8.314*$J$79)</f>
        <v>7.1794670504706382E-4</v>
      </c>
      <c r="Q15" s="50">
        <f>(100000*L15/1000000)/(8.314*$J$79)</f>
        <v>7.1175750931389947E-4</v>
      </c>
      <c r="R15" s="50">
        <f>(100000*M15/1000000)/(8.314*$J$79)</f>
        <v>7.045450332195186E-4</v>
      </c>
      <c r="S15" s="50">
        <f>(100000*N15/1000000)/(8.314*$J$79)</f>
        <v>7.1060889579698612E-4</v>
      </c>
      <c r="T15" s="50">
        <f>(100000*O15/1000000)/(8.314*$J$79)</f>
        <v>7.1022684800354694E-4</v>
      </c>
      <c r="U15" s="52">
        <f>($H$79-P15)*10^(3)/60/$B$35</f>
        <v>17.179022111271927</v>
      </c>
      <c r="V15" s="52">
        <f>($H$79-Q15)*10^(3)/60/$B$35</f>
        <v>17.250433161614193</v>
      </c>
      <c r="W15" s="52">
        <f>($H$79-R15)*10^(3)/60/$B$35</f>
        <v>17.333650838946383</v>
      </c>
      <c r="X15" s="52">
        <f>($H$79-S15)*10^(3)/60/$B$35</f>
        <v>17.26368588478153</v>
      </c>
      <c r="Y15" s="52">
        <f>($H$79-T15)*10^(3)/60/$B$35</f>
        <v>17.268093959010667</v>
      </c>
      <c r="Z15" s="45">
        <f t="shared" si="6"/>
        <v>4.9289463714219897E-2</v>
      </c>
      <c r="AA15" s="52">
        <f>($H$79-P15)*10^(3)/60/$B$35/$I$69</f>
        <v>1.1797168162009697</v>
      </c>
      <c r="AB15" s="52">
        <f>($H$79-Q15)*10^(3)/60/$B$35/$I$69</f>
        <v>1.184620751733835</v>
      </c>
      <c r="AC15" s="52">
        <f>($H$79-R15)*10^(3)/60/$B$35/$I$69</f>
        <v>1.1903354712748009</v>
      </c>
      <c r="AD15" s="52">
        <f>($H$79-S15)*10^(3)/60/$B$35/$I$69</f>
        <v>1.1855308419752759</v>
      </c>
      <c r="AE15" s="52">
        <f>($H$79-T15)*10^(3)/60/$B$35/$I$69</f>
        <v>1.1858335529946511</v>
      </c>
      <c r="AF15" s="45">
        <f t="shared" si="7"/>
        <v>3.3848032110651602E-3</v>
      </c>
      <c r="AJ15" s="45"/>
      <c r="AK15" s="47"/>
      <c r="AL15" s="45"/>
      <c r="AM15" s="45"/>
      <c r="AN15" s="45"/>
      <c r="AO15" s="48"/>
      <c r="AP15" s="48"/>
      <c r="AQ15" s="48"/>
      <c r="AR15" s="48"/>
      <c r="AS15" s="48"/>
      <c r="AT15" s="49"/>
      <c r="AU15" s="49"/>
      <c r="AV15" s="49"/>
      <c r="AW15" s="49"/>
      <c r="AX15" s="49"/>
      <c r="AY15" s="50"/>
      <c r="AZ15" s="50"/>
      <c r="BA15" s="50"/>
      <c r="BB15" s="50"/>
      <c r="BC15" s="50"/>
      <c r="BD15" s="52"/>
      <c r="BE15" s="52"/>
      <c r="BF15" s="52"/>
      <c r="BG15" s="52"/>
      <c r="BH15" s="52"/>
      <c r="BI15" s="45"/>
      <c r="BJ15" s="52"/>
      <c r="BK15" s="52"/>
      <c r="BL15" s="52"/>
      <c r="BM15" s="52"/>
      <c r="BN15" s="52"/>
      <c r="BO15" s="45"/>
      <c r="BR15" s="45"/>
      <c r="BS15" s="47"/>
      <c r="BT15" s="45"/>
      <c r="BU15" s="45"/>
      <c r="BV15" s="45"/>
      <c r="BW15" s="48"/>
      <c r="BX15" s="48"/>
      <c r="BY15" s="48"/>
      <c r="BZ15" s="48"/>
      <c r="CA15" s="48"/>
      <c r="CB15" s="49"/>
      <c r="CC15" s="49"/>
      <c r="CD15" s="49"/>
      <c r="CE15" s="49"/>
      <c r="CF15" s="49"/>
      <c r="CG15" s="50"/>
      <c r="CH15" s="50"/>
      <c r="CI15" s="50"/>
      <c r="CJ15" s="50"/>
      <c r="CK15" s="50"/>
      <c r="CL15" s="52"/>
      <c r="CM15" s="52"/>
      <c r="CN15" s="52"/>
      <c r="CO15" s="52"/>
      <c r="CP15" s="52"/>
      <c r="CQ15" s="45"/>
      <c r="CR15" s="52"/>
      <c r="CS15" s="52"/>
      <c r="CT15" s="52"/>
      <c r="CU15" s="52"/>
      <c r="CV15" s="52"/>
      <c r="CW15" s="45"/>
      <c r="DA15" s="45">
        <v>6.85</v>
      </c>
      <c r="DB15" s="47">
        <v>6.91</v>
      </c>
      <c r="DC15" s="45">
        <v>6.93</v>
      </c>
      <c r="DD15" s="45">
        <v>6.83</v>
      </c>
      <c r="DE15" s="45">
        <v>6.9</v>
      </c>
      <c r="DF15" s="48">
        <f>DA15/60</f>
        <v>0.11416666666666667</v>
      </c>
      <c r="DG15" s="48">
        <f t="shared" si="25"/>
        <v>0.11516666666666667</v>
      </c>
      <c r="DH15" s="48">
        <f t="shared" si="26"/>
        <v>0.11549999999999999</v>
      </c>
      <c r="DI15" s="48">
        <f t="shared" si="27"/>
        <v>0.11383333333333333</v>
      </c>
      <c r="DJ15" s="48">
        <f t="shared" si="28"/>
        <v>0.115</v>
      </c>
      <c r="DK15" s="49">
        <f>5/DF15</f>
        <v>43.795620437956202</v>
      </c>
      <c r="DL15" s="49">
        <f t="shared" si="29"/>
        <v>43.415340086830682</v>
      </c>
      <c r="DM15" s="49">
        <f t="shared" si="30"/>
        <v>43.290043290043293</v>
      </c>
      <c r="DN15" s="49">
        <f t="shared" si="31"/>
        <v>43.923865300146417</v>
      </c>
      <c r="DO15" s="49">
        <f t="shared" si="32"/>
        <v>43.478260869565219</v>
      </c>
      <c r="DP15" s="50">
        <f>(100660*DK15/1000000)/(8.314*$DJ$79)</f>
        <v>1.7683716179654548E-3</v>
      </c>
      <c r="DQ15" s="50">
        <f>(100660*DL15/1000000)/(8.314*$DJ$79)</f>
        <v>1.7530167269266808E-3</v>
      </c>
      <c r="DR15" s="50">
        <f>(100660*DM15/1000000)/(8.314*$DJ$79)</f>
        <v>1.7479575155935588E-3</v>
      </c>
      <c r="DS15" s="50">
        <f>(100660*DN15/1000000)/(8.314*$DJ$79)</f>
        <v>1.7735498657486623E-3</v>
      </c>
      <c r="DT15" s="50">
        <f>(100660*DO15/1000000)/(8.314*$DJ$79)</f>
        <v>1.7555573308787483E-3</v>
      </c>
      <c r="DU15" s="52">
        <f>($DH$79-DP15)*10^(3)/60/$DB$35</f>
        <v>3.2052800555771368</v>
      </c>
      <c r="DV15" s="52">
        <f>($DH$79-DQ15)*10^(3)/60/$DB$35</f>
        <v>3.3824450612166199</v>
      </c>
      <c r="DW15" s="52">
        <f>($DH$79-DR15)*10^(3)/60/$DB$35</f>
        <v>3.4408183314730176</v>
      </c>
      <c r="DX15" s="52">
        <f>($DH$79-DS15)*10^(3)/60/$DB$35</f>
        <v>3.1455333406445467</v>
      </c>
      <c r="DY15" s="52">
        <f>($DH$79-DT15)*10^(3)/60/$DB$35</f>
        <v>3.3531315276748237</v>
      </c>
      <c r="DZ15" s="45">
        <f t="shared" si="58"/>
        <v>0.11147529596868626</v>
      </c>
      <c r="EA15" s="52">
        <f>($DH$79-DP15)*10^(3)/60/$DB$35/$DI$69</f>
        <v>1.1808396168887363</v>
      </c>
      <c r="EB15" s="52">
        <f>($DH$79-DQ15)*10^(3)/60/$DB$35/$DI$69</f>
        <v>1.2461080033504457</v>
      </c>
      <c r="EC15" s="52">
        <f>($DH$79-DR15)*10^(3)/60/$DB$35/$DI$69</f>
        <v>1.2676129791687587</v>
      </c>
      <c r="ED15" s="52">
        <f>($DH$79-DS15)*10^(3)/60/$DB$35/$DI$69</f>
        <v>1.1588286578623628</v>
      </c>
      <c r="EE15" s="52">
        <f>($DH$79-DT15)*10^(3)/60/$DB$35/$DI$69</f>
        <v>1.2353087654938593</v>
      </c>
      <c r="EF15" s="45">
        <f t="shared" si="33"/>
        <v>4.1068001392009452E-2</v>
      </c>
      <c r="EI15" s="45">
        <v>6.13</v>
      </c>
      <c r="EJ15" s="47">
        <v>5.95</v>
      </c>
      <c r="EK15" s="45">
        <v>6.12</v>
      </c>
      <c r="EL15" s="45">
        <v>6.28</v>
      </c>
      <c r="EM15" s="45">
        <v>6.26</v>
      </c>
      <c r="EN15" s="48">
        <f t="shared" si="59"/>
        <v>0.10216666666666667</v>
      </c>
      <c r="EO15" s="48">
        <f t="shared" si="34"/>
        <v>9.9166666666666667E-2</v>
      </c>
      <c r="EP15" s="48">
        <f t="shared" si="35"/>
        <v>0.10200000000000001</v>
      </c>
      <c r="EQ15" s="48">
        <f t="shared" si="36"/>
        <v>0.10466666666666667</v>
      </c>
      <c r="ER15" s="48">
        <f t="shared" si="37"/>
        <v>0.10433333333333333</v>
      </c>
      <c r="ES15" s="49">
        <f t="shared" si="60"/>
        <v>48.939641109298528</v>
      </c>
      <c r="ET15" s="49">
        <f t="shared" si="38"/>
        <v>50.420168067226889</v>
      </c>
      <c r="EU15" s="49">
        <f t="shared" si="39"/>
        <v>49.019607843137251</v>
      </c>
      <c r="EV15" s="49">
        <f t="shared" si="40"/>
        <v>47.770700636942671</v>
      </c>
      <c r="EW15" s="49">
        <f t="shared" si="41"/>
        <v>47.923322683706068</v>
      </c>
      <c r="EX15" s="50">
        <f>(100000*ES15/1000000)/(8.314*$ER$79)</f>
        <v>1.9690294070019072E-3</v>
      </c>
      <c r="EY15" s="50">
        <f>(100000*ET15/1000000)/(8.314*$ER$79)</f>
        <v>2.0285966831801163E-3</v>
      </c>
      <c r="EZ15" s="50">
        <f>(100000*EU15/1000000)/(8.314*$ER$79)</f>
        <v>1.9722467753140018E-3</v>
      </c>
      <c r="FA15" s="50">
        <f>(100000*EV15/1000000)/(8.314*$ER$79)</f>
        <v>1.9219984498282951E-3</v>
      </c>
      <c r="FB15" s="50">
        <f>(100000*EW15/1000000)/(8.314*$ER$79)</f>
        <v>1.9281390199555419E-3</v>
      </c>
      <c r="FC15" s="52">
        <f>($EP$79-EX15)*10^(3)/60/$EJ$35</f>
        <v>0.79001543461592594</v>
      </c>
      <c r="FD15" s="52">
        <f>($EP$79-EY15)*10^(3)/60/$EJ$35</f>
        <v>0.10272714364778046</v>
      </c>
      <c r="FE15" s="52">
        <f>($EP$79-EZ15)*10^(3)/60/$EJ$35</f>
        <v>0.75289338186301713</v>
      </c>
      <c r="FF15" s="52">
        <f>($EP$79-FA15)*10^(3)/60/$EJ$35</f>
        <v>1.3326594541568519</v>
      </c>
      <c r="FG15" s="52">
        <f>($EP$79-FB15)*10^(3)/60/$EJ$35</f>
        <v>1.261809446919667</v>
      </c>
      <c r="FH15" s="45">
        <f t="shared" si="61"/>
        <v>0.44135522013816342</v>
      </c>
      <c r="FI15" s="52">
        <f>($EP$79-EX15)*10^(3)/60/$EJ$35/$EQ$69</f>
        <v>1.6790799126210609</v>
      </c>
      <c r="FJ15" s="52">
        <f>($EP$79-EY15)*10^(3)/60/$EJ$35/$EQ$69</f>
        <v>0.21833381453336131</v>
      </c>
      <c r="FK15" s="52">
        <f>($EP$79-EZ15)*10^(3)/60/$EJ$35/$EQ$69</f>
        <v>1.6001815894218803</v>
      </c>
      <c r="FL15" s="52">
        <f>($EP$79-FA15)*10^(3)/60/$EJ$35/$EQ$69</f>
        <v>2.8324025351823288</v>
      </c>
      <c r="FM15" s="52">
        <f>($EP$79-FB15)*10^(3)/60/$EJ$35/$EQ$69</f>
        <v>2.6818196240790169</v>
      </c>
      <c r="FN15" s="45">
        <f t="shared" si="42"/>
        <v>0.9380458304902809</v>
      </c>
      <c r="FQ15" s="45">
        <v>6.14</v>
      </c>
      <c r="FR15" s="47">
        <v>6.06</v>
      </c>
      <c r="FS15" s="45">
        <v>6.1</v>
      </c>
      <c r="FT15" s="45">
        <v>6.08</v>
      </c>
      <c r="FU15" s="45">
        <v>6.1</v>
      </c>
      <c r="FV15" s="48">
        <f t="shared" si="62"/>
        <v>0.10233333333333333</v>
      </c>
      <c r="FW15" s="48">
        <f t="shared" si="43"/>
        <v>0.10099999999999999</v>
      </c>
      <c r="FX15" s="48">
        <f t="shared" si="44"/>
        <v>0.10166666666666666</v>
      </c>
      <c r="FY15" s="48">
        <f t="shared" si="45"/>
        <v>0.10133333333333333</v>
      </c>
      <c r="FZ15" s="48">
        <f t="shared" si="46"/>
        <v>0.10166666666666666</v>
      </c>
      <c r="GA15" s="49">
        <f t="shared" si="63"/>
        <v>48.859934853420199</v>
      </c>
      <c r="GB15" s="49">
        <f t="shared" si="47"/>
        <v>49.504950495049506</v>
      </c>
      <c r="GC15" s="49">
        <f t="shared" si="48"/>
        <v>49.180327868852466</v>
      </c>
      <c r="GD15" s="49">
        <f t="shared" si="49"/>
        <v>49.342105263157897</v>
      </c>
      <c r="GE15" s="49">
        <f t="shared" si="50"/>
        <v>49.180327868852466</v>
      </c>
      <c r="GF15" s="50">
        <f>(100000*GA15/1000000)/(8.314*$FZ$79)</f>
        <v>1.9710972395452419E-3</v>
      </c>
      <c r="GG15" s="50">
        <f>(100000*GB15/1000000)/(8.314*$FZ$79)</f>
        <v>1.9971183252158057E-3</v>
      </c>
      <c r="GH15" s="50">
        <f>(100000*GC15/1000000)/(8.314*$FZ$79)</f>
        <v>1.9840224673455388E-3</v>
      </c>
      <c r="GI15" s="50">
        <f>(100000*GD15/1000000)/(8.314*$FZ$79)</f>
        <v>1.9905488570407539E-3</v>
      </c>
      <c r="GJ15" s="50">
        <f>(100000*GE15/1000000)/(8.314*$FZ$79)</f>
        <v>1.9840224673455388E-3</v>
      </c>
      <c r="GK15" s="52">
        <f>($FX$79-GF15)*10^(3)/60/$FR$35</f>
        <v>0.81862965033637547</v>
      </c>
      <c r="GL15" s="52">
        <f>($FX$79-GG15)*10^(3)/60/$FR$35</f>
        <v>0.51839790151251797</v>
      </c>
      <c r="GM15" s="52">
        <f>($FX$79-GH15)*10^(3)/60/$FR$35</f>
        <v>0.66949814231402804</v>
      </c>
      <c r="GN15" s="52">
        <f>($FX$79-GI15)*10^(3)/60/$FR$35</f>
        <v>0.59419654204617189</v>
      </c>
      <c r="GO15" s="52">
        <f>($FX$79-GJ15)*10^(3)/60/$FR$35</f>
        <v>0.66949814231402804</v>
      </c>
      <c r="GP15" s="45">
        <f t="shared" si="64"/>
        <v>9.954665196213687E-2</v>
      </c>
      <c r="GQ15" s="52">
        <f>($FX$79-GF15)*10^(3)/60/$FR$35/$FY$69</f>
        <v>3.5265601502423882</v>
      </c>
      <c r="GR15" s="52">
        <f>($FX$79-GG15)*10^(3)/60/$FR$35/$FY$69</f>
        <v>2.2331971248440992</v>
      </c>
      <c r="GS15" s="52">
        <f>($FX$79-GH15)*10^(3)/60/$FR$35/$FY$69</f>
        <v>2.8841191720527242</v>
      </c>
      <c r="GT15" s="52">
        <f>($FX$79-GI15)*10^(3)/60/$FR$35/$FY$69</f>
        <v>2.5597287439208016</v>
      </c>
      <c r="GU15" s="52">
        <f>($FX$79-GJ15)*10^(3)/60/$FR$35/$FY$69</f>
        <v>2.8841191720527242</v>
      </c>
      <c r="GV15" s="45">
        <f t="shared" si="51"/>
        <v>0.42883525627916286</v>
      </c>
    </row>
    <row r="16" spans="1:204" x14ac:dyDescent="0.3">
      <c r="A16" s="45">
        <v>18.62</v>
      </c>
      <c r="B16" s="47">
        <v>18.809999999999999</v>
      </c>
      <c r="C16" s="45">
        <v>18.72</v>
      </c>
      <c r="D16" s="45">
        <v>19.07</v>
      </c>
      <c r="E16" s="45">
        <v>19.09</v>
      </c>
      <c r="F16" s="48">
        <f t="shared" si="0"/>
        <v>0.31033333333333335</v>
      </c>
      <c r="G16" s="48">
        <f t="shared" si="1"/>
        <v>0.3135</v>
      </c>
      <c r="H16" s="48">
        <f t="shared" si="2"/>
        <v>0.312</v>
      </c>
      <c r="I16" s="48">
        <f t="shared" si="3"/>
        <v>0.31783333333333336</v>
      </c>
      <c r="J16" s="48">
        <f t="shared" si="4"/>
        <v>0.31816666666666665</v>
      </c>
      <c r="K16" s="49">
        <f t="shared" si="65"/>
        <v>16.111707841031148</v>
      </c>
      <c r="L16" s="49">
        <f t="shared" si="66"/>
        <v>15.94896331738437</v>
      </c>
      <c r="M16" s="49">
        <f t="shared" si="67"/>
        <v>16.025641025641026</v>
      </c>
      <c r="N16" s="49">
        <f t="shared" si="68"/>
        <v>15.731515469323543</v>
      </c>
      <c r="O16" s="49">
        <f t="shared" si="69"/>
        <v>15.71503404924044</v>
      </c>
      <c r="P16" s="50">
        <f>(100000*K16/1000000)/(8.314*$J$80)</f>
        <v>7.0946398350515429E-4</v>
      </c>
      <c r="Q16" s="50">
        <f>(100000*L16/1000000)/(8.314*$J$80)</f>
        <v>7.0229768064146588E-4</v>
      </c>
      <c r="R16" s="50">
        <f>(100000*M16/1000000)/(8.314*$J$80)</f>
        <v>7.0567411179839595E-4</v>
      </c>
      <c r="S16" s="50">
        <f>(100000*N16/1000000)/(8.314*$J$80)</f>
        <v>6.9272256805799528E-4</v>
      </c>
      <c r="T16" s="50">
        <f>(100000*O16/1000000)/(8.314*$J$80)</f>
        <v>6.9199682414174818E-4</v>
      </c>
      <c r="U16" s="52">
        <f>($H$80-P16)*10^(3)/60/$B$35</f>
        <v>17.276895903148116</v>
      </c>
      <c r="V16" s="52">
        <f>($H$80-Q16)*10^(3)/60/$B$35</f>
        <v>17.359580832924145</v>
      </c>
      <c r="W16" s="52">
        <f>($H$80-R16)*10^(3)/60/$B$35</f>
        <v>17.320623510241209</v>
      </c>
      <c r="X16" s="52">
        <f>($H$80-S16)*10^(3)/60/$B$35</f>
        <v>17.470058652048067</v>
      </c>
      <c r="Y16" s="52">
        <f>($H$80-T16)*10^(3)/60/$B$35</f>
        <v>17.478432298249146</v>
      </c>
      <c r="Z16" s="45">
        <f t="shared" si="6"/>
        <v>8.0456436111980473E-2</v>
      </c>
      <c r="AA16" s="52">
        <f>($H$80-P16)*10^(3)/60/$B$35/$I$69</f>
        <v>1.1864379995951009</v>
      </c>
      <c r="AB16" s="52">
        <f>($H$80-Q16)*10^(3)/60/$B$35/$I$69</f>
        <v>1.1921161343265985</v>
      </c>
      <c r="AC16" s="52">
        <f>($H$80-R16)*10^(3)/60/$B$35/$I$69</f>
        <v>1.1894408593088737</v>
      </c>
      <c r="AD16" s="52">
        <f>($H$80-S16)*10^(3)/60/$B$35/$I$69</f>
        <v>1.1997028607533713</v>
      </c>
      <c r="AE16" s="52">
        <f>($H$80-T16)*10^(3)/60/$B$35/$I$69</f>
        <v>1.2002778953026223</v>
      </c>
      <c r="AF16" s="45">
        <f t="shared" si="7"/>
        <v>5.525099743053723E-3</v>
      </c>
      <c r="AJ16" s="45"/>
      <c r="AK16" s="47"/>
      <c r="AL16" s="45"/>
      <c r="AM16" s="45"/>
      <c r="AN16" s="45"/>
      <c r="AO16" s="48"/>
      <c r="AP16" s="48"/>
      <c r="AQ16" s="48"/>
      <c r="AR16" s="48"/>
      <c r="AS16" s="48"/>
      <c r="AT16" s="49"/>
      <c r="AU16" s="49"/>
      <c r="AV16" s="49"/>
      <c r="AW16" s="49"/>
      <c r="AX16" s="49"/>
      <c r="AY16" s="50"/>
      <c r="AZ16" s="50"/>
      <c r="BA16" s="50"/>
      <c r="BB16" s="50"/>
      <c r="BC16" s="50"/>
      <c r="BD16" s="52"/>
      <c r="BE16" s="52"/>
      <c r="BF16" s="52"/>
      <c r="BG16" s="52"/>
      <c r="BH16" s="52"/>
      <c r="BI16" s="45"/>
      <c r="BJ16" s="52"/>
      <c r="BK16" s="52"/>
      <c r="BL16" s="52"/>
      <c r="BM16" s="52"/>
      <c r="BN16" s="52"/>
      <c r="BO16" s="45"/>
      <c r="BR16" s="45"/>
      <c r="BS16" s="47"/>
      <c r="BT16" s="45"/>
      <c r="BU16" s="45"/>
      <c r="BV16" s="45"/>
      <c r="BW16" s="48"/>
      <c r="BX16" s="48"/>
      <c r="BY16" s="48"/>
      <c r="BZ16" s="48"/>
      <c r="CA16" s="48"/>
      <c r="CB16" s="49"/>
      <c r="CC16" s="49"/>
      <c r="CD16" s="49"/>
      <c r="CE16" s="49"/>
      <c r="CF16" s="49"/>
      <c r="CG16" s="50"/>
      <c r="CH16" s="50"/>
      <c r="CI16" s="50"/>
      <c r="CJ16" s="50"/>
      <c r="CK16" s="50"/>
      <c r="CL16" s="52"/>
      <c r="CM16" s="52"/>
      <c r="CN16" s="52"/>
      <c r="CO16" s="52"/>
      <c r="CP16" s="52"/>
      <c r="CQ16" s="45"/>
      <c r="CR16" s="52"/>
      <c r="CS16" s="52"/>
      <c r="CT16" s="52"/>
      <c r="CU16" s="52"/>
      <c r="CV16" s="52"/>
      <c r="CW16" s="45"/>
      <c r="DA16" s="45">
        <v>6.85</v>
      </c>
      <c r="DB16" s="47">
        <v>6.87</v>
      </c>
      <c r="DC16" s="45">
        <v>6.89</v>
      </c>
      <c r="DD16" s="45">
        <v>6.87</v>
      </c>
      <c r="DE16" s="45">
        <v>6.93</v>
      </c>
      <c r="DF16" s="48">
        <f>DA16/60</f>
        <v>0.11416666666666667</v>
      </c>
      <c r="DG16" s="48">
        <f t="shared" si="25"/>
        <v>0.1145</v>
      </c>
      <c r="DH16" s="48">
        <f t="shared" si="26"/>
        <v>0.11483333333333333</v>
      </c>
      <c r="DI16" s="48">
        <f t="shared" si="27"/>
        <v>0.1145</v>
      </c>
      <c r="DJ16" s="48">
        <f>DE16/60</f>
        <v>0.11549999999999999</v>
      </c>
      <c r="DK16" s="49">
        <f>5/DF16</f>
        <v>43.795620437956202</v>
      </c>
      <c r="DL16" s="49">
        <f t="shared" si="29"/>
        <v>43.668122270742359</v>
      </c>
      <c r="DM16" s="49">
        <f t="shared" si="30"/>
        <v>43.541364296081277</v>
      </c>
      <c r="DN16" s="49">
        <f t="shared" si="31"/>
        <v>43.668122270742359</v>
      </c>
      <c r="DO16" s="49">
        <f>5/DJ16</f>
        <v>43.290043290043293</v>
      </c>
      <c r="DP16" s="50">
        <f>(100660*DK16/1000000)/(8.314*$DJ$80)</f>
        <v>1.7862429834830439E-3</v>
      </c>
      <c r="DQ16" s="50">
        <f>(100660*DL16/1000000)/(8.314*$DJ$80)</f>
        <v>1.7810428583491778E-3</v>
      </c>
      <c r="DR16" s="50">
        <f>(100660*DM16/1000000)/(8.314*$DJ$80)</f>
        <v>1.7758729226210234E-3</v>
      </c>
      <c r="DS16" s="50">
        <f>(100660*DN16/1000000)/(8.314*$DJ$80)</f>
        <v>1.7810428583491778E-3</v>
      </c>
      <c r="DT16" s="50">
        <f>(100660*DO16/1000000)/(8.314*$DJ$80)</f>
        <v>1.7656225738613058E-3</v>
      </c>
      <c r="DU16" s="52">
        <f>($DH$80-DP16)*10^(3)/60/$DB$35</f>
        <v>3.2376729818588683</v>
      </c>
      <c r="DV16" s="52">
        <f>($DH$80-DQ16)*10^(3)/60/$DB$35</f>
        <v>3.2976721180520854</v>
      </c>
      <c r="DW16" s="52">
        <f>($DH$80-DR16)*10^(3)/60/$DB$35</f>
        <v>3.3573229283457788</v>
      </c>
      <c r="DX16" s="52">
        <f>($DH$80-DS16)*10^(3)/60/$DB$35</f>
        <v>3.2976721180520854</v>
      </c>
      <c r="DY16" s="52">
        <f>($DH$80-DT16)*10^(3)/60/$DB$35</f>
        <v>3.4755916344692075</v>
      </c>
      <c r="DZ16" s="45">
        <f t="shared" si="58"/>
        <v>8.0631463206817147E-2</v>
      </c>
      <c r="EA16" s="52">
        <f>($DH$80-DP16)*10^(3)/60/$DB$35/$DI$69</f>
        <v>1.1927733169078247</v>
      </c>
      <c r="EB16" s="52">
        <f>($DH$80-DQ16)*10^(3)/60/$DB$35/$DI$69</f>
        <v>1.2148772690641354</v>
      </c>
      <c r="EC16" s="52">
        <f>($DH$80-DR16)*10^(3)/60/$DB$35/$DI$69</f>
        <v>1.2368528963893504</v>
      </c>
      <c r="ED16" s="52">
        <f>($DH$80-DS16)*10^(3)/60/$DB$35/$DI$69</f>
        <v>1.2148772690641354</v>
      </c>
      <c r="EE16" s="52">
        <f>($DH$80-DT16)*10^(3)/60/$DB$35/$DI$69</f>
        <v>1.2804236206964872</v>
      </c>
      <c r="EF16" s="45">
        <f t="shared" si="33"/>
        <v>2.9704994406540928E-2</v>
      </c>
      <c r="EI16" s="45">
        <v>6.18</v>
      </c>
      <c r="EJ16" s="47">
        <v>6.14</v>
      </c>
      <c r="EK16" s="45">
        <v>6.17</v>
      </c>
      <c r="EL16" s="45">
        <v>6.11</v>
      </c>
      <c r="EM16" s="45">
        <v>6.13</v>
      </c>
      <c r="EN16" s="48">
        <f t="shared" si="59"/>
        <v>0.10299999999999999</v>
      </c>
      <c r="EO16" s="48">
        <f t="shared" si="34"/>
        <v>0.10233333333333333</v>
      </c>
      <c r="EP16" s="48">
        <f t="shared" si="35"/>
        <v>0.10283333333333333</v>
      </c>
      <c r="EQ16" s="48">
        <f t="shared" si="36"/>
        <v>0.10183333333333335</v>
      </c>
      <c r="ER16" s="48">
        <f>EM16/60</f>
        <v>0.10216666666666667</v>
      </c>
      <c r="ES16" s="49">
        <f t="shared" si="60"/>
        <v>48.543689320388353</v>
      </c>
      <c r="ET16" s="49">
        <f t="shared" si="38"/>
        <v>48.859934853420199</v>
      </c>
      <c r="EU16" s="49">
        <f t="shared" si="39"/>
        <v>48.622366288492707</v>
      </c>
      <c r="EV16" s="49">
        <f t="shared" si="40"/>
        <v>49.099836333878883</v>
      </c>
      <c r="EW16" s="49">
        <f>5/ER16</f>
        <v>48.939641109298528</v>
      </c>
      <c r="EX16" s="50">
        <f>(100000*ES16/1000000)/(8.314*$ER$80)</f>
        <v>1.9589963792148103E-3</v>
      </c>
      <c r="EY16" s="50">
        <f>(100000*ET16/1000000)/(8.314*$ER$80)</f>
        <v>1.9717585706103468E-3</v>
      </c>
      <c r="EZ16" s="50">
        <f>(100000*EU16/1000000)/(8.314*$ER$80)</f>
        <v>1.9621714138650776E-3</v>
      </c>
      <c r="FA16" s="50">
        <f>(100000*EV16/1000000)/(8.314*$ER$80)</f>
        <v>1.9814398729210356E-3</v>
      </c>
      <c r="FB16" s="50">
        <f>(100000*EW16/1000000)/(8.314*$ER$80)</f>
        <v>1.9749751425036746E-3</v>
      </c>
      <c r="FC16" s="52">
        <f>($EP$80-EX16)*10^(3)/60/$EJ$35</f>
        <v>0.9767642417566661</v>
      </c>
      <c r="FD16" s="52">
        <f>($EP$80-EY16)*10^(3)/60/$EJ$35</f>
        <v>0.82951385066936367</v>
      </c>
      <c r="FE16" s="52">
        <f>($EP$80-EZ16)*10^(3)/60/$EJ$35</f>
        <v>0.94013063554612886</v>
      </c>
      <c r="FF16" s="52">
        <f>($EP$80-FA16)*10^(3)/60/$EJ$35</f>
        <v>0.71781081258595825</v>
      </c>
      <c r="FG16" s="52">
        <f>($EP$80-FB16)*10^(3)/60/$EJ$35</f>
        <v>0.79240098701033823</v>
      </c>
      <c r="FH16" s="45">
        <f t="shared" si="61"/>
        <v>9.5284046992137258E-2</v>
      </c>
      <c r="FI16" s="52">
        <f>($EP$80-EX16)*10^(3)/60/$EJ$35/$EQ$69</f>
        <v>2.0759913614820631</v>
      </c>
      <c r="FJ16" s="52">
        <f>($EP$80-EY16)*10^(3)/60/$EJ$35/$EQ$69</f>
        <v>1.7630289015517888</v>
      </c>
      <c r="FK16" s="52">
        <f>($EP$80-EZ16)*10^(3)/60/$EJ$35/$EQ$69</f>
        <v>1.9981311708835245</v>
      </c>
      <c r="FL16" s="52">
        <f>($EP$80-FA16)*10^(3)/60/$EJ$35/$EQ$69</f>
        <v>1.5256179356308828</v>
      </c>
      <c r="FM16" s="52">
        <f>($EP$80-FB16)*10^(3)/60/$EJ$35/$EQ$69</f>
        <v>1.6841501086330035</v>
      </c>
      <c r="FN16" s="45">
        <f t="shared" si="42"/>
        <v>0.20251443489268278</v>
      </c>
      <c r="FQ16" s="45">
        <v>6.09</v>
      </c>
      <c r="FR16" s="47">
        <v>6.21</v>
      </c>
      <c r="FS16" s="45">
        <v>6.15</v>
      </c>
      <c r="FT16" s="45">
        <v>6.21</v>
      </c>
      <c r="FU16" s="45">
        <v>6.1</v>
      </c>
      <c r="FV16" s="48">
        <f t="shared" si="62"/>
        <v>0.10149999999999999</v>
      </c>
      <c r="FW16" s="48">
        <f t="shared" si="43"/>
        <v>0.10349999999999999</v>
      </c>
      <c r="FX16" s="48">
        <f t="shared" si="44"/>
        <v>0.10250000000000001</v>
      </c>
      <c r="FY16" s="48">
        <f t="shared" si="45"/>
        <v>0.10349999999999999</v>
      </c>
      <c r="FZ16" s="48">
        <f>FU16/60</f>
        <v>0.10166666666666666</v>
      </c>
      <c r="GA16" s="49">
        <f t="shared" si="63"/>
        <v>49.26108374384237</v>
      </c>
      <c r="GB16" s="49">
        <f t="shared" si="47"/>
        <v>48.309178743961354</v>
      </c>
      <c r="GC16" s="49">
        <f t="shared" si="48"/>
        <v>48.780487804878042</v>
      </c>
      <c r="GD16" s="49">
        <f t="shared" si="49"/>
        <v>48.309178743961354</v>
      </c>
      <c r="GE16" s="49">
        <f>5/FZ16</f>
        <v>49.180327868852466</v>
      </c>
      <c r="GF16" s="50">
        <f>(100000*GA16/1000000)/(8.314*$FZ$80)</f>
        <v>1.9906185876383841E-3</v>
      </c>
      <c r="GG16" s="50">
        <f>(100000*GB16/1000000)/(8.314*$FZ$80)</f>
        <v>1.9521525279738738E-3</v>
      </c>
      <c r="GH16" s="50">
        <f>(100000*GC16/1000000)/(8.314*$FZ$80)</f>
        <v>1.971197918490692E-3</v>
      </c>
      <c r="GI16" s="50">
        <f>(100000*GD16/1000000)/(8.314*$FZ$80)</f>
        <v>1.9521525279738738E-3</v>
      </c>
      <c r="GJ16" s="50">
        <f>(100000*GE16/1000000)/(8.314*$FZ$80)</f>
        <v>1.9873552784783212E-3</v>
      </c>
      <c r="GK16" s="52">
        <f>($FX$80-GF16)*10^(3)/60/$FR$35</f>
        <v>0.63297066315749684</v>
      </c>
      <c r="GL16" s="52">
        <f>($FX$80-GG16)*10^(3)/60/$FR$35</f>
        <v>1.0767927430526203</v>
      </c>
      <c r="GM16" s="52">
        <f>($FX$80-GH16)*10^(3)/60/$FR$35</f>
        <v>0.85704668886064839</v>
      </c>
      <c r="GN16" s="52">
        <f>($FX$80-GI16)*10^(3)/60/$FR$35</f>
        <v>1.0767927430526203</v>
      </c>
      <c r="GO16" s="52">
        <f>($FX$80-GJ16)*10^(3)/60/$FR$35</f>
        <v>0.6706227822305656</v>
      </c>
      <c r="GP16" s="45">
        <f t="shared" si="64"/>
        <v>0.19045864940694712</v>
      </c>
      <c r="GQ16" s="52">
        <f>($FX$80-GF16)*10^(3)/60/$FR$35/$FY$69</f>
        <v>2.7267630925003874</v>
      </c>
      <c r="GR16" s="52">
        <f>($FX$80-GG16)*10^(3)/60/$FR$35/$FY$69</f>
        <v>4.6386963581873903</v>
      </c>
      <c r="GS16" s="52">
        <f>($FX$80-GH16)*10^(3)/60/$FR$35/$FY$69</f>
        <v>3.6920562290789642</v>
      </c>
      <c r="GT16" s="52">
        <f>($FX$80-GI16)*10^(3)/60/$FR$35/$FY$69</f>
        <v>4.6386963581873903</v>
      </c>
      <c r="GU16" s="52">
        <f>($FX$80-GJ16)*10^(3)/60/$FR$35/$FY$69</f>
        <v>2.8889639884008784</v>
      </c>
      <c r="GV16" s="45">
        <f t="shared" si="51"/>
        <v>0.82047343752030133</v>
      </c>
    </row>
    <row r="17" spans="1:204" x14ac:dyDescent="0.3">
      <c r="A17" s="45">
        <v>18.59</v>
      </c>
      <c r="B17" s="47">
        <v>18.3</v>
      </c>
      <c r="C17" s="45">
        <v>18.46</v>
      </c>
      <c r="D17" s="45">
        <v>18.510000000000002</v>
      </c>
      <c r="E17" s="45">
        <v>18.73</v>
      </c>
      <c r="F17" s="48">
        <f t="shared" si="0"/>
        <v>0.30983333333333335</v>
      </c>
      <c r="G17" s="48">
        <f t="shared" si="1"/>
        <v>0.30499999999999999</v>
      </c>
      <c r="H17" s="48">
        <f t="shared" si="2"/>
        <v>0.3076666666666667</v>
      </c>
      <c r="I17" s="48">
        <f t="shared" si="3"/>
        <v>0.30850000000000005</v>
      </c>
      <c r="J17" s="48">
        <f t="shared" si="4"/>
        <v>0.31216666666666665</v>
      </c>
      <c r="K17" s="49">
        <f t="shared" si="65"/>
        <v>16.137708445400751</v>
      </c>
      <c r="L17" s="49">
        <f t="shared" si="66"/>
        <v>16.393442622950818</v>
      </c>
      <c r="M17" s="49">
        <f t="shared" si="67"/>
        <v>16.251354279523291</v>
      </c>
      <c r="N17" s="49">
        <f t="shared" si="68"/>
        <v>16.207455429497568</v>
      </c>
      <c r="O17" s="49">
        <f t="shared" si="69"/>
        <v>16.017084890549921</v>
      </c>
      <c r="P17" s="50">
        <f>(100000*K17/1000000)/(8.314*$J$81)</f>
        <v>7.1060889579698612E-4</v>
      </c>
      <c r="Q17" s="50">
        <f>(100000*L17/1000000)/(8.314*$J$81)</f>
        <v>7.218699110855722E-4</v>
      </c>
      <c r="R17" s="50">
        <f>(100000*M17/1000000)/(8.314*$J$81)</f>
        <v>7.1561318379555639E-4</v>
      </c>
      <c r="S17" s="50">
        <f>(100000*N17/1000000)/(8.314*$J$81)</f>
        <v>7.1368013899870194E-4</v>
      </c>
      <c r="T17" s="50">
        <f>(100000*O17/1000000)/(8.314*$J$81)</f>
        <v>7.0529735039327149E-4</v>
      </c>
      <c r="U17" s="52">
        <f>($H$81-P17)*10^(3)/60/$B$35</f>
        <v>17.26368588478153</v>
      </c>
      <c r="V17" s="52">
        <f>($H$81-Q17)*10^(3)/60/$B$35</f>
        <v>17.133756090289943</v>
      </c>
      <c r="W17" s="52">
        <f>($H$81-R17)*10^(3)/60/$B$35</f>
        <v>17.205946320935102</v>
      </c>
      <c r="X17" s="52">
        <f>($H$81-S17)*10^(3)/60/$B$35</f>
        <v>17.228249826148605</v>
      </c>
      <c r="Y17" s="52">
        <f>($H$81-T17)*10^(3)/60/$B$35</f>
        <v>17.324970590028038</v>
      </c>
      <c r="Z17" s="45">
        <f t="shared" si="6"/>
        <v>6.3229660017730477E-2</v>
      </c>
      <c r="AA17" s="52">
        <f>($H$81-P17)*10^(3)/60/$B$35/$I$69</f>
        <v>1.1855308419752759</v>
      </c>
      <c r="AB17" s="52">
        <f>($H$81-Q17)*10^(3)/60/$B$35/$I$69</f>
        <v>1.1766083106172955</v>
      </c>
      <c r="AC17" s="52">
        <f>($H$81-R17)*10^(3)/60/$B$35/$I$69</f>
        <v>1.181565753975008</v>
      </c>
      <c r="AD17" s="52">
        <f>($H$81-S17)*10^(3)/60/$B$35/$I$69</f>
        <v>1.1830973789994226</v>
      </c>
      <c r="AE17" s="52">
        <f>($H$81-T17)*10^(3)/60/$B$35/$I$69</f>
        <v>1.1897393817214228</v>
      </c>
      <c r="AF17" s="45">
        <f t="shared" si="7"/>
        <v>4.3421035680862637E-3</v>
      </c>
      <c r="AJ17" s="45"/>
      <c r="AK17" s="47"/>
      <c r="AL17" s="45"/>
      <c r="AM17" s="45"/>
      <c r="AN17" s="45"/>
      <c r="AO17" s="48"/>
      <c r="AP17" s="48"/>
      <c r="AQ17" s="48"/>
      <c r="AR17" s="48"/>
      <c r="AS17" s="48"/>
      <c r="AT17" s="49"/>
      <c r="AU17" s="49"/>
      <c r="AV17" s="49"/>
      <c r="AW17" s="49"/>
      <c r="AX17" s="49"/>
      <c r="AY17" s="50"/>
      <c r="AZ17" s="50"/>
      <c r="BA17" s="50"/>
      <c r="BB17" s="50"/>
      <c r="BC17" s="50"/>
      <c r="BD17" s="52"/>
      <c r="BE17" s="52"/>
      <c r="BF17" s="52"/>
      <c r="BG17" s="52"/>
      <c r="BH17" s="52"/>
      <c r="BI17" s="45"/>
      <c r="BJ17" s="52"/>
      <c r="BK17" s="52"/>
      <c r="BL17" s="52"/>
      <c r="BM17" s="52"/>
      <c r="BN17" s="52"/>
      <c r="BO17" s="45"/>
      <c r="BR17" s="45"/>
      <c r="BS17" s="47"/>
      <c r="BT17" s="45"/>
      <c r="BU17" s="45"/>
      <c r="BV17" s="45"/>
      <c r="BW17" s="48"/>
      <c r="BX17" s="48"/>
      <c r="BY17" s="48"/>
      <c r="BZ17" s="48"/>
      <c r="CA17" s="48"/>
      <c r="CB17" s="49"/>
      <c r="CC17" s="49"/>
      <c r="CD17" s="49"/>
      <c r="CE17" s="49"/>
      <c r="CF17" s="49"/>
      <c r="CG17" s="50"/>
      <c r="CH17" s="50"/>
      <c r="CI17" s="50"/>
      <c r="CJ17" s="50"/>
      <c r="CK17" s="50"/>
      <c r="CL17" s="52"/>
      <c r="CM17" s="52"/>
      <c r="CN17" s="52"/>
      <c r="CO17" s="52"/>
      <c r="CP17" s="52"/>
      <c r="CQ17" s="45"/>
      <c r="CR17" s="52"/>
      <c r="CS17" s="52"/>
      <c r="CT17" s="52"/>
      <c r="CU17" s="52"/>
      <c r="CV17" s="52"/>
      <c r="CW17" s="45"/>
      <c r="DA17" s="45"/>
      <c r="DB17" s="47"/>
      <c r="DC17" s="45"/>
      <c r="DD17" s="45"/>
      <c r="DE17" s="45"/>
      <c r="DF17" s="48"/>
      <c r="DG17" s="48"/>
      <c r="DH17" s="48"/>
      <c r="DI17" s="48"/>
      <c r="DJ17" s="48"/>
      <c r="DK17" s="49"/>
      <c r="DL17" s="49"/>
      <c r="DM17" s="49"/>
      <c r="DN17" s="49"/>
      <c r="DO17" s="49"/>
      <c r="DP17" s="50"/>
      <c r="DQ17" s="50"/>
      <c r="DR17" s="50"/>
      <c r="DS17" s="50"/>
      <c r="DT17" s="50"/>
      <c r="DU17" s="52"/>
      <c r="DV17" s="52"/>
      <c r="DW17" s="52"/>
      <c r="DX17" s="52"/>
      <c r="DY17" s="52"/>
      <c r="DZ17" s="45"/>
      <c r="EA17" s="52"/>
      <c r="EB17" s="52"/>
      <c r="EC17" s="52"/>
      <c r="ED17" s="52"/>
      <c r="EE17" s="52"/>
      <c r="EF17" s="45"/>
      <c r="EI17" s="45"/>
      <c r="EJ17" s="47"/>
      <c r="EK17" s="45"/>
      <c r="EL17" s="45"/>
      <c r="EM17" s="45"/>
      <c r="EN17" s="48"/>
      <c r="EO17" s="48"/>
      <c r="EP17" s="48"/>
      <c r="EQ17" s="48"/>
      <c r="ER17" s="48"/>
      <c r="ES17" s="49"/>
      <c r="ET17" s="49"/>
      <c r="EU17" s="49"/>
      <c r="EV17" s="49"/>
      <c r="EW17" s="49"/>
      <c r="EX17" s="50"/>
      <c r="EY17" s="50"/>
      <c r="EZ17" s="50"/>
      <c r="FA17" s="50"/>
      <c r="FB17" s="50"/>
      <c r="FC17" s="52"/>
      <c r="FD17" s="52"/>
      <c r="FE17" s="52"/>
      <c r="FF17" s="52"/>
      <c r="FG17" s="52"/>
      <c r="FH17" s="45"/>
      <c r="FI17" s="52"/>
      <c r="FJ17" s="52"/>
      <c r="FK17" s="52"/>
      <c r="FL17" s="52"/>
      <c r="FM17" s="52"/>
      <c r="FN17" s="45"/>
      <c r="FQ17" s="45"/>
      <c r="FR17" s="47"/>
      <c r="FS17" s="45"/>
      <c r="FT17" s="45"/>
      <c r="FU17" s="45"/>
      <c r="FV17" s="48"/>
      <c r="FW17" s="48"/>
      <c r="FX17" s="48"/>
      <c r="FY17" s="48"/>
      <c r="FZ17" s="48"/>
      <c r="GA17" s="49"/>
      <c r="GB17" s="49"/>
      <c r="GC17" s="49"/>
      <c r="GD17" s="49"/>
      <c r="GE17" s="49"/>
      <c r="GF17" s="50"/>
      <c r="GG17" s="50"/>
      <c r="GH17" s="50"/>
      <c r="GI17" s="50"/>
      <c r="GJ17" s="50"/>
      <c r="GK17" s="52"/>
      <c r="GL17" s="52"/>
      <c r="GM17" s="52"/>
      <c r="GN17" s="52"/>
      <c r="GO17" s="52"/>
      <c r="GP17" s="45"/>
      <c r="GQ17" s="52"/>
      <c r="GR17" s="52"/>
      <c r="GS17" s="52"/>
      <c r="GT17" s="52"/>
      <c r="GU17" s="52"/>
      <c r="GV17" s="45"/>
    </row>
    <row r="18" spans="1:204" x14ac:dyDescent="0.3">
      <c r="A18" s="45">
        <v>18.559999999999999</v>
      </c>
      <c r="B18" s="47">
        <v>22.9</v>
      </c>
      <c r="C18" s="45">
        <v>23.19</v>
      </c>
      <c r="D18" s="45">
        <v>24.21</v>
      </c>
      <c r="E18" s="45">
        <v>24.34</v>
      </c>
      <c r="F18" s="48">
        <f t="shared" si="0"/>
        <v>0.30933333333333329</v>
      </c>
      <c r="G18" s="48">
        <f t="shared" si="1"/>
        <v>0.38166666666666665</v>
      </c>
      <c r="H18" s="48">
        <f t="shared" si="2"/>
        <v>0.38650000000000001</v>
      </c>
      <c r="I18" s="48">
        <f t="shared" si="3"/>
        <v>0.40350000000000003</v>
      </c>
      <c r="J18" s="48">
        <f t="shared" si="4"/>
        <v>0.40566666666666668</v>
      </c>
      <c r="K18" s="49">
        <f t="shared" si="65"/>
        <v>16.163793103448278</v>
      </c>
      <c r="L18" s="49">
        <f t="shared" si="66"/>
        <v>13.100436681222709</v>
      </c>
      <c r="M18" s="49">
        <f t="shared" si="67"/>
        <v>12.936610608020699</v>
      </c>
      <c r="N18" s="49">
        <f t="shared" si="68"/>
        <v>12.391573729863692</v>
      </c>
      <c r="O18" s="49">
        <f t="shared" si="69"/>
        <v>12.325390304026294</v>
      </c>
      <c r="P18" s="50">
        <f>(100000*K18/1000000)/(8.314*$J$82)</f>
        <v>7.1175750931389947E-4</v>
      </c>
      <c r="Q18" s="50">
        <f>(100000*L18/1000000)/(8.314*$J$82)</f>
        <v>5.7686547479764085E-4</v>
      </c>
      <c r="R18" s="50">
        <f>(100000*M18/1000000)/(8.314*$J$82)</f>
        <v>5.6965154691099502E-4</v>
      </c>
      <c r="S18" s="50">
        <f>(100000*N18/1000000)/(8.314*$J$82)</f>
        <v>5.4565135782180807E-4</v>
      </c>
      <c r="T18" s="50">
        <f>(100000*O18/1000000)/(8.314*$J$82)</f>
        <v>5.4273703257460854E-4</v>
      </c>
      <c r="U18" s="52">
        <f>($H$82-P18)*10^(3)/60/$B$35</f>
        <v>17.250433161614193</v>
      </c>
      <c r="V18" s="52">
        <f>($H$82-Q18)*10^(3)/60/$B$35</f>
        <v>18.80681985269829</v>
      </c>
      <c r="W18" s="52">
        <f>($H$82-R18)*10^(3)/60/$B$35</f>
        <v>18.890054280835429</v>
      </c>
      <c r="X18" s="52">
        <f>($H$82-S18)*10^(3)/60/$B$35</f>
        <v>19.166968888994962</v>
      </c>
      <c r="Y18" s="52">
        <f>($H$82-T18)*10^(3)/60/$B$35</f>
        <v>19.200594425480478</v>
      </c>
      <c r="Z18" s="45">
        <f t="shared" si="6"/>
        <v>0.72257529343553584</v>
      </c>
      <c r="AA18" s="52">
        <f>($H$82-P18)*10^(3)/60/$B$35/$I$69</f>
        <v>1.184620751733835</v>
      </c>
      <c r="AB18" s="52">
        <f>($H$82-Q18)*10^(3)/60/$B$35/$I$69</f>
        <v>1.2915008488715265</v>
      </c>
      <c r="AC18" s="52">
        <f>($H$82-R18)*10^(3)/60/$B$35/$I$69</f>
        <v>1.2972167187228043</v>
      </c>
      <c r="AD18" s="52">
        <f>($H$82-S18)*10^(3)/60/$B$35/$I$69</f>
        <v>1.3162329827325674</v>
      </c>
      <c r="AE18" s="52">
        <f>($H$82-T18)*10^(3)/60/$B$35/$I$69</f>
        <v>1.318542113635875</v>
      </c>
      <c r="AF18" s="45">
        <f t="shared" si="7"/>
        <v>4.9620648900494307E-2</v>
      </c>
      <c r="AJ18" s="45"/>
      <c r="AK18" s="47"/>
      <c r="AL18" s="45"/>
      <c r="AM18" s="45"/>
      <c r="AN18" s="45"/>
      <c r="AO18" s="48"/>
      <c r="AP18" s="48"/>
      <c r="AQ18" s="48"/>
      <c r="AR18" s="48"/>
      <c r="AS18" s="48"/>
      <c r="AT18" s="49"/>
      <c r="AU18" s="49"/>
      <c r="AV18" s="49"/>
      <c r="AW18" s="49"/>
      <c r="AX18" s="49"/>
      <c r="AY18" s="50"/>
      <c r="AZ18" s="50"/>
      <c r="BA18" s="50"/>
      <c r="BB18" s="50"/>
      <c r="BC18" s="50"/>
      <c r="BD18" s="52"/>
      <c r="BE18" s="52"/>
      <c r="BF18" s="52"/>
      <c r="BG18" s="52"/>
      <c r="BH18" s="52"/>
      <c r="BI18" s="45"/>
      <c r="BJ18" s="52"/>
      <c r="BK18" s="52"/>
      <c r="BL18" s="52"/>
      <c r="BM18" s="52"/>
      <c r="BN18" s="52"/>
      <c r="BO18" s="45"/>
      <c r="BR18" s="45"/>
      <c r="BS18" s="47"/>
      <c r="BT18" s="45"/>
      <c r="BU18" s="45"/>
      <c r="BV18" s="45"/>
      <c r="BW18" s="48"/>
      <c r="BX18" s="48"/>
      <c r="BY18" s="48"/>
      <c r="BZ18" s="48"/>
      <c r="CA18" s="48"/>
      <c r="CB18" s="49"/>
      <c r="CC18" s="49"/>
      <c r="CD18" s="49"/>
      <c r="CE18" s="49"/>
      <c r="CF18" s="49"/>
      <c r="CG18" s="50"/>
      <c r="CH18" s="50"/>
      <c r="CI18" s="50"/>
      <c r="CJ18" s="50"/>
      <c r="CK18" s="50"/>
      <c r="CL18" s="52"/>
      <c r="CM18" s="52"/>
      <c r="CN18" s="52"/>
      <c r="CO18" s="52"/>
      <c r="CP18" s="52"/>
      <c r="CQ18" s="45"/>
      <c r="CR18" s="52"/>
      <c r="CS18" s="52"/>
      <c r="CT18" s="52"/>
      <c r="CU18" s="52"/>
      <c r="CV18" s="52"/>
      <c r="CW18" s="45"/>
      <c r="DA18" s="45"/>
      <c r="DB18" s="47"/>
      <c r="DC18" s="45"/>
      <c r="DD18" s="45"/>
      <c r="DE18" s="45"/>
      <c r="DF18" s="48"/>
      <c r="DG18" s="48"/>
      <c r="DH18" s="48"/>
      <c r="DI18" s="48"/>
      <c r="DJ18" s="48"/>
      <c r="DK18" s="49"/>
      <c r="DL18" s="49"/>
      <c r="DM18" s="49"/>
      <c r="DN18" s="49"/>
      <c r="DO18" s="49"/>
      <c r="DP18" s="50"/>
      <c r="DQ18" s="50"/>
      <c r="DR18" s="50"/>
      <c r="DS18" s="50"/>
      <c r="DT18" s="50"/>
      <c r="DU18" s="52"/>
      <c r="DV18" s="52"/>
      <c r="DW18" s="52"/>
      <c r="DX18" s="52"/>
      <c r="DY18" s="52"/>
      <c r="DZ18" s="45"/>
      <c r="EA18" s="52"/>
      <c r="EB18" s="52"/>
      <c r="EC18" s="52"/>
      <c r="ED18" s="52"/>
      <c r="EE18" s="52"/>
      <c r="EF18" s="45"/>
      <c r="EI18" s="45"/>
      <c r="EJ18" s="47"/>
      <c r="EK18" s="45"/>
      <c r="EL18" s="45"/>
      <c r="EM18" s="45"/>
      <c r="EN18" s="48"/>
      <c r="EO18" s="48"/>
      <c r="EP18" s="48"/>
      <c r="EQ18" s="48"/>
      <c r="ER18" s="48"/>
      <c r="ES18" s="49"/>
      <c r="ET18" s="49"/>
      <c r="EU18" s="49"/>
      <c r="EV18" s="49"/>
      <c r="EW18" s="49"/>
      <c r="EX18" s="50"/>
      <c r="EY18" s="50"/>
      <c r="EZ18" s="50"/>
      <c r="FA18" s="50"/>
      <c r="FB18" s="50"/>
      <c r="FC18" s="52"/>
      <c r="FD18" s="52"/>
      <c r="FE18" s="52"/>
      <c r="FF18" s="52"/>
      <c r="FG18" s="52"/>
      <c r="FH18" s="45"/>
      <c r="FI18" s="52"/>
      <c r="FJ18" s="52"/>
      <c r="FK18" s="52"/>
      <c r="FL18" s="52"/>
      <c r="FM18" s="52"/>
      <c r="FN18" s="45"/>
      <c r="FQ18" s="45"/>
      <c r="FR18" s="47"/>
      <c r="FS18" s="45"/>
      <c r="FT18" s="45"/>
      <c r="FU18" s="45"/>
      <c r="FV18" s="48"/>
      <c r="FW18" s="48"/>
      <c r="FX18" s="48"/>
      <c r="FY18" s="48"/>
      <c r="FZ18" s="48"/>
      <c r="GA18" s="49"/>
      <c r="GB18" s="49"/>
      <c r="GC18" s="49"/>
      <c r="GD18" s="49"/>
      <c r="GE18" s="49"/>
      <c r="GF18" s="50"/>
      <c r="GG18" s="50"/>
      <c r="GH18" s="50"/>
      <c r="GI18" s="50"/>
      <c r="GJ18" s="50"/>
      <c r="GK18" s="52"/>
      <c r="GL18" s="52"/>
      <c r="GM18" s="52"/>
      <c r="GN18" s="52"/>
      <c r="GO18" s="52"/>
      <c r="GP18" s="45"/>
      <c r="GQ18" s="52"/>
      <c r="GR18" s="52"/>
      <c r="GS18" s="52"/>
      <c r="GT18" s="52"/>
      <c r="GU18" s="52"/>
      <c r="GV18" s="45"/>
    </row>
    <row r="19" spans="1:204" x14ac:dyDescent="0.3">
      <c r="A19" s="45">
        <v>22.14</v>
      </c>
      <c r="B19" s="47">
        <v>20.65</v>
      </c>
      <c r="C19" s="45">
        <v>22.06</v>
      </c>
      <c r="D19" s="45">
        <v>22.71</v>
      </c>
      <c r="E19" s="45">
        <v>21.44</v>
      </c>
      <c r="F19" s="48">
        <f t="shared" si="0"/>
        <v>0.36899999999999999</v>
      </c>
      <c r="G19" s="48">
        <f t="shared" si="1"/>
        <v>0.34416666666666662</v>
      </c>
      <c r="H19" s="48">
        <f t="shared" si="2"/>
        <v>0.36766666666666664</v>
      </c>
      <c r="I19" s="48">
        <f t="shared" si="3"/>
        <v>0.3785</v>
      </c>
      <c r="J19" s="48">
        <f t="shared" si="4"/>
        <v>0.35733333333333334</v>
      </c>
      <c r="K19" s="49">
        <f t="shared" si="65"/>
        <v>13.550135501355014</v>
      </c>
      <c r="L19" s="49">
        <f t="shared" si="66"/>
        <v>14.527845036319615</v>
      </c>
      <c r="M19" s="49">
        <f t="shared" si="67"/>
        <v>13.59927470534905</v>
      </c>
      <c r="N19" s="49">
        <f t="shared" si="68"/>
        <v>13.21003963011889</v>
      </c>
      <c r="O19" s="49">
        <f t="shared" si="69"/>
        <v>13.992537313432836</v>
      </c>
      <c r="P19" s="50">
        <f>(100000*K19/1000000)/(8.314*$J$83)</f>
        <v>5.9666754168319661E-4</v>
      </c>
      <c r="Q19" s="50">
        <f>(100000*L19/1000000)/(8.314*$J$83)</f>
        <v>6.3972006648261377E-4</v>
      </c>
      <c r="R19" s="50">
        <f>(100000*M19/1000000)/(8.314*$J$83)</f>
        <v>5.98831340565094E-4</v>
      </c>
      <c r="S19" s="50">
        <f>(100000*N19/1000000)/(8.314*$J$83)</f>
        <v>5.8169173812707938E-4</v>
      </c>
      <c r="T19" s="50">
        <f>(100000*O19/1000000)/(8.314*$J$83)</f>
        <v>6.1614829164486815E-4</v>
      </c>
      <c r="U19" s="52">
        <f>($H$83-P19)*10^(3)/60/$B$35</f>
        <v>18.578343253118781</v>
      </c>
      <c r="V19" s="52">
        <f>($H$83-Q19)*10^(3)/60/$B$35</f>
        <v>18.081602457002283</v>
      </c>
      <c r="W19" s="52">
        <f>($H$83-R19)*10^(3)/60/$B$35</f>
        <v>18.553377303171885</v>
      </c>
      <c r="X19" s="52">
        <f>($H$83-S19)*10^(3)/60/$B$35</f>
        <v>18.751134340647535</v>
      </c>
      <c r="Y19" s="52">
        <f>($H$83-T19)*10^(3)/60/$B$35</f>
        <v>18.353574013916386</v>
      </c>
      <c r="Z19" s="45">
        <f t="shared" si="6"/>
        <v>0.22887980060542071</v>
      </c>
      <c r="AA19" s="52">
        <f>($H$83-P19)*10^(3)/60/$B$35/$I$69</f>
        <v>1.2758109169949323</v>
      </c>
      <c r="AB19" s="52">
        <f>($H$83-Q19)*10^(3)/60/$B$35/$I$69</f>
        <v>1.241698761676896</v>
      </c>
      <c r="AC19" s="52">
        <f>($H$83-R19)*10^(3)/60/$B$35/$I$69</f>
        <v>1.2740964567192534</v>
      </c>
      <c r="AD19" s="52">
        <f>($H$83-S19)*10^(3)/60/$B$35/$I$69</f>
        <v>1.2876768165977726</v>
      </c>
      <c r="AE19" s="52">
        <f>($H$83-T19)*10^(3)/60/$B$35/$I$69</f>
        <v>1.2603755767564575</v>
      </c>
      <c r="AF19" s="45">
        <f t="shared" si="7"/>
        <v>1.5717620474204497E-2</v>
      </c>
      <c r="AJ19" s="45"/>
      <c r="AK19" s="47"/>
      <c r="AL19" s="45"/>
      <c r="AM19" s="45"/>
      <c r="AN19" s="45"/>
      <c r="AO19" s="48"/>
      <c r="AP19" s="48"/>
      <c r="AQ19" s="48"/>
      <c r="AR19" s="48"/>
      <c r="AS19" s="48"/>
      <c r="AT19" s="49"/>
      <c r="AU19" s="49"/>
      <c r="AV19" s="49"/>
      <c r="AW19" s="49"/>
      <c r="AX19" s="49"/>
      <c r="AY19" s="50"/>
      <c r="AZ19" s="50"/>
      <c r="BA19" s="50"/>
      <c r="BB19" s="50"/>
      <c r="BC19" s="50"/>
      <c r="BD19" s="52"/>
      <c r="BE19" s="52"/>
      <c r="BF19" s="52"/>
      <c r="BG19" s="52"/>
      <c r="BH19" s="52"/>
      <c r="BI19" s="45"/>
      <c r="BJ19" s="52"/>
      <c r="BK19" s="52"/>
      <c r="BL19" s="52"/>
      <c r="BM19" s="52"/>
      <c r="BN19" s="52"/>
      <c r="BO19" s="45"/>
      <c r="BR19" s="45"/>
      <c r="BS19" s="47"/>
      <c r="BT19" s="45"/>
      <c r="BU19" s="45"/>
      <c r="BV19" s="45"/>
      <c r="BW19" s="48"/>
      <c r="BX19" s="48"/>
      <c r="BY19" s="48"/>
      <c r="BZ19" s="48"/>
      <c r="CA19" s="48"/>
      <c r="CB19" s="49"/>
      <c r="CC19" s="49"/>
      <c r="CD19" s="49"/>
      <c r="CE19" s="49"/>
      <c r="CF19" s="49"/>
      <c r="CG19" s="50"/>
      <c r="CH19" s="50"/>
      <c r="CI19" s="50"/>
      <c r="CJ19" s="50"/>
      <c r="CK19" s="50"/>
      <c r="CL19" s="52"/>
      <c r="CM19" s="52"/>
      <c r="CN19" s="52"/>
      <c r="CO19" s="52"/>
      <c r="CP19" s="52"/>
      <c r="CQ19" s="45"/>
      <c r="CR19" s="52"/>
      <c r="CS19" s="52"/>
      <c r="CT19" s="52"/>
      <c r="CU19" s="52"/>
      <c r="CV19" s="52"/>
      <c r="CW19" s="45"/>
      <c r="DA19" s="45"/>
      <c r="DB19" s="47"/>
      <c r="DC19" s="45"/>
      <c r="DD19" s="45"/>
      <c r="DE19" s="45"/>
      <c r="DF19" s="48"/>
      <c r="DG19" s="48"/>
      <c r="DH19" s="48"/>
      <c r="DI19" s="48"/>
      <c r="DJ19" s="48"/>
      <c r="DK19" s="49"/>
      <c r="DL19" s="49"/>
      <c r="DM19" s="49"/>
      <c r="DN19" s="49"/>
      <c r="DO19" s="49"/>
      <c r="DP19" s="50"/>
      <c r="DQ19" s="50"/>
      <c r="DR19" s="50"/>
      <c r="DS19" s="50"/>
      <c r="DT19" s="50"/>
      <c r="DU19" s="52"/>
      <c r="DV19" s="52"/>
      <c r="DW19" s="52"/>
      <c r="DX19" s="52"/>
      <c r="DY19" s="52"/>
      <c r="DZ19" s="45"/>
      <c r="EA19" s="52"/>
      <c r="EB19" s="52"/>
      <c r="EC19" s="52"/>
      <c r="ED19" s="52"/>
      <c r="EE19" s="52"/>
      <c r="EF19" s="45"/>
      <c r="EI19" s="45"/>
      <c r="EJ19" s="47"/>
      <c r="EK19" s="45"/>
      <c r="EL19" s="45"/>
      <c r="EM19" s="45"/>
      <c r="EN19" s="48"/>
      <c r="EO19" s="48"/>
      <c r="EP19" s="48"/>
      <c r="EQ19" s="48"/>
      <c r="ER19" s="48"/>
      <c r="ES19" s="49"/>
      <c r="ET19" s="49"/>
      <c r="EU19" s="49"/>
      <c r="EV19" s="49"/>
      <c r="EW19" s="49"/>
      <c r="EX19" s="50"/>
      <c r="EY19" s="50"/>
      <c r="EZ19" s="50"/>
      <c r="FA19" s="50"/>
      <c r="FB19" s="50"/>
      <c r="FC19" s="52"/>
      <c r="FD19" s="52"/>
      <c r="FE19" s="52"/>
      <c r="FF19" s="52"/>
      <c r="FG19" s="52"/>
      <c r="FH19" s="45"/>
      <c r="FI19" s="52"/>
      <c r="FJ19" s="52"/>
      <c r="FK19" s="52"/>
      <c r="FL19" s="52"/>
      <c r="FM19" s="52"/>
      <c r="FN19" s="45"/>
      <c r="FQ19" s="45"/>
      <c r="FR19" s="47"/>
      <c r="FS19" s="45"/>
      <c r="FT19" s="45"/>
      <c r="FU19" s="45"/>
      <c r="FV19" s="48"/>
      <c r="FW19" s="48"/>
      <c r="FX19" s="48"/>
      <c r="FY19" s="48"/>
      <c r="FZ19" s="48"/>
      <c r="GA19" s="49"/>
      <c r="GB19" s="49"/>
      <c r="GC19" s="49"/>
      <c r="GD19" s="49"/>
      <c r="GE19" s="49"/>
      <c r="GF19" s="50"/>
      <c r="GG19" s="50"/>
      <c r="GH19" s="50"/>
      <c r="GI19" s="50"/>
      <c r="GJ19" s="50"/>
      <c r="GK19" s="52"/>
      <c r="GL19" s="52"/>
      <c r="GM19" s="52"/>
      <c r="GN19" s="52"/>
      <c r="GO19" s="52"/>
      <c r="GP19" s="45"/>
      <c r="GQ19" s="52"/>
      <c r="GR19" s="52"/>
      <c r="GS19" s="52"/>
      <c r="GT19" s="52"/>
      <c r="GU19" s="52"/>
      <c r="GV19" s="45"/>
    </row>
    <row r="20" spans="1:204" x14ac:dyDescent="0.3">
      <c r="A20" s="45">
        <v>27.53</v>
      </c>
      <c r="B20" s="47">
        <v>28.21</v>
      </c>
      <c r="C20" s="45">
        <v>30.08</v>
      </c>
      <c r="D20" s="45">
        <v>26.31</v>
      </c>
      <c r="E20" s="45">
        <v>24.24</v>
      </c>
      <c r="F20" s="48">
        <f t="shared" si="0"/>
        <v>0.45883333333333337</v>
      </c>
      <c r="G20" s="48">
        <f t="shared" si="1"/>
        <v>0.47016666666666668</v>
      </c>
      <c r="H20" s="48">
        <f t="shared" si="2"/>
        <v>0.5013333333333333</v>
      </c>
      <c r="I20" s="48">
        <f t="shared" si="3"/>
        <v>0.4385</v>
      </c>
      <c r="J20" s="48">
        <f t="shared" si="4"/>
        <v>0.40399999999999997</v>
      </c>
      <c r="K20" s="49">
        <f t="shared" si="65"/>
        <v>10.897203051216854</v>
      </c>
      <c r="L20" s="49">
        <f t="shared" si="66"/>
        <v>10.634526763559021</v>
      </c>
      <c r="M20" s="49">
        <f t="shared" si="67"/>
        <v>9.9734042553191493</v>
      </c>
      <c r="N20" s="49">
        <f t="shared" si="68"/>
        <v>11.402508551881414</v>
      </c>
      <c r="O20" s="49">
        <f t="shared" si="69"/>
        <v>12.376237623762377</v>
      </c>
      <c r="P20" s="50">
        <f>(100000*K20/1000000)/(8.314*$J$84)</f>
        <v>4.7984814285746355E-4</v>
      </c>
      <c r="Q20" s="50">
        <f>(100000*L20/1000000)/(8.314*$J$84)</f>
        <v>4.682814382440968E-4</v>
      </c>
      <c r="R20" s="50">
        <f>(100000*M20/1000000)/(8.314*$J$84)</f>
        <v>4.3916952702346984E-4</v>
      </c>
      <c r="S20" s="50">
        <f>(100000*N20/1000000)/(8.314*$J$84)</f>
        <v>5.0209879790444594E-4</v>
      </c>
      <c r="T20" s="50">
        <f>(100000*O20/1000000)/(8.314*$J$84)</f>
        <v>5.4497604673539493E-4</v>
      </c>
      <c r="U20" s="52">
        <f>($H$84-P20)*10^(3)/60/$B$35</f>
        <v>19.926207552481113</v>
      </c>
      <c r="V20" s="52">
        <f>($H$84-Q20)*10^(3)/60/$B$35</f>
        <v>20.059664395833675</v>
      </c>
      <c r="W20" s="52">
        <f>($H$84-R20)*10^(3)/60/$B$35</f>
        <v>20.395558144773641</v>
      </c>
      <c r="X20" s="52">
        <f>($H$84-S20)*10^(3)/60/$B$35</f>
        <v>19.66947909918721</v>
      </c>
      <c r="Y20" s="52">
        <f>($H$84-T20)*10^(3)/60/$B$35</f>
        <v>19.174760640309295</v>
      </c>
      <c r="Z20" s="45">
        <f t="shared" si="6"/>
        <v>0.40885646292086542</v>
      </c>
      <c r="AA20" s="52">
        <f>($H$84-P20)*10^(3)/60/$B$35/$I$69</f>
        <v>1.3683713764678465</v>
      </c>
      <c r="AB20" s="52">
        <f>($H$84-Q20)*10^(3)/60/$B$35/$I$69</f>
        <v>1.3775361171219034</v>
      </c>
      <c r="AC20" s="52">
        <f>($H$84-R20)*10^(3)/60/$B$35/$I$69</f>
        <v>1.4006025932876951</v>
      </c>
      <c r="AD20" s="52">
        <f>($H$84-S20)*10^(3)/60/$B$35/$I$69</f>
        <v>1.3507413349214561</v>
      </c>
      <c r="AE20" s="52">
        <f>($H$84-T20)*10^(3)/60/$B$35/$I$69</f>
        <v>1.3167680574296972</v>
      </c>
      <c r="AF20" s="45">
        <f t="shared" si="7"/>
        <v>2.8076967454609133E-2</v>
      </c>
      <c r="AJ20" s="45"/>
      <c r="AK20" s="47"/>
      <c r="AL20" s="45"/>
      <c r="AM20" s="45"/>
      <c r="AN20" s="45"/>
      <c r="AO20" s="48"/>
      <c r="AP20" s="48"/>
      <c r="AQ20" s="48"/>
      <c r="AR20" s="48"/>
      <c r="AS20" s="48"/>
      <c r="AT20" s="49"/>
      <c r="AU20" s="49"/>
      <c r="AV20" s="49"/>
      <c r="AW20" s="49"/>
      <c r="AX20" s="49"/>
      <c r="AY20" s="50"/>
      <c r="AZ20" s="50"/>
      <c r="BA20" s="50"/>
      <c r="BB20" s="50"/>
      <c r="BC20" s="50"/>
      <c r="BD20" s="52"/>
      <c r="BE20" s="52"/>
      <c r="BF20" s="52"/>
      <c r="BG20" s="52"/>
      <c r="BH20" s="52"/>
      <c r="BI20" s="45"/>
      <c r="BJ20" s="52"/>
      <c r="BK20" s="52"/>
      <c r="BL20" s="52"/>
      <c r="BM20" s="52"/>
      <c r="BN20" s="52"/>
      <c r="BO20" s="45"/>
      <c r="BR20" s="45"/>
      <c r="BS20" s="47"/>
      <c r="BT20" s="45"/>
      <c r="BU20" s="45"/>
      <c r="BV20" s="45"/>
      <c r="BW20" s="48"/>
      <c r="BX20" s="48"/>
      <c r="BY20" s="48"/>
      <c r="BZ20" s="48"/>
      <c r="CA20" s="48"/>
      <c r="CB20" s="49"/>
      <c r="CC20" s="49"/>
      <c r="CD20" s="49"/>
      <c r="CE20" s="49"/>
      <c r="CF20" s="49"/>
      <c r="CG20" s="50"/>
      <c r="CH20" s="50"/>
      <c r="CI20" s="50"/>
      <c r="CJ20" s="50"/>
      <c r="CK20" s="50"/>
      <c r="CL20" s="52"/>
      <c r="CM20" s="52"/>
      <c r="CN20" s="52"/>
      <c r="CO20" s="52"/>
      <c r="CP20" s="52"/>
      <c r="CQ20" s="45"/>
      <c r="CR20" s="52"/>
      <c r="CS20" s="52"/>
      <c r="CT20" s="52"/>
      <c r="CU20" s="52"/>
      <c r="CV20" s="52"/>
      <c r="CW20" s="45"/>
      <c r="DA20" s="45"/>
      <c r="DB20" s="47"/>
      <c r="DC20" s="45"/>
      <c r="DD20" s="45"/>
      <c r="DE20" s="45"/>
      <c r="DF20" s="48"/>
      <c r="DG20" s="48"/>
      <c r="DH20" s="48"/>
      <c r="DI20" s="48"/>
      <c r="DJ20" s="48"/>
      <c r="DK20" s="49"/>
      <c r="DL20" s="49"/>
      <c r="DM20" s="49"/>
      <c r="DN20" s="49"/>
      <c r="DO20" s="49"/>
      <c r="DP20" s="50"/>
      <c r="DQ20" s="50"/>
      <c r="DR20" s="50"/>
      <c r="DS20" s="50"/>
      <c r="DT20" s="50"/>
      <c r="DU20" s="52"/>
      <c r="DV20" s="52"/>
      <c r="DW20" s="52"/>
      <c r="DX20" s="52"/>
      <c r="DY20" s="52"/>
      <c r="DZ20" s="45"/>
      <c r="EA20" s="52"/>
      <c r="EB20" s="52"/>
      <c r="EC20" s="52"/>
      <c r="ED20" s="52"/>
      <c r="EE20" s="52"/>
      <c r="EF20" s="45"/>
      <c r="EI20" s="45"/>
      <c r="EJ20" s="47"/>
      <c r="EK20" s="45"/>
      <c r="EL20" s="45"/>
      <c r="EM20" s="45"/>
      <c r="EN20" s="48"/>
      <c r="EO20" s="48"/>
      <c r="EP20" s="48"/>
      <c r="EQ20" s="48"/>
      <c r="ER20" s="48"/>
      <c r="ES20" s="49"/>
      <c r="ET20" s="49"/>
      <c r="EU20" s="49"/>
      <c r="EV20" s="49"/>
      <c r="EW20" s="49"/>
      <c r="EX20" s="50"/>
      <c r="EY20" s="50"/>
      <c r="EZ20" s="50"/>
      <c r="FA20" s="50"/>
      <c r="FB20" s="50"/>
      <c r="FC20" s="52"/>
      <c r="FD20" s="52"/>
      <c r="FE20" s="52"/>
      <c r="FF20" s="52"/>
      <c r="FG20" s="52"/>
      <c r="FH20" s="45"/>
      <c r="FI20" s="52"/>
      <c r="FJ20" s="52"/>
      <c r="FK20" s="52"/>
      <c r="FL20" s="52"/>
      <c r="FM20" s="52"/>
      <c r="FN20" s="45"/>
      <c r="FQ20" s="45"/>
      <c r="FR20" s="47"/>
      <c r="FS20" s="45"/>
      <c r="FT20" s="45"/>
      <c r="FU20" s="45"/>
      <c r="FV20" s="48"/>
      <c r="FW20" s="48"/>
      <c r="FX20" s="48"/>
      <c r="FY20" s="48"/>
      <c r="FZ20" s="48"/>
      <c r="GA20" s="49"/>
      <c r="GB20" s="49"/>
      <c r="GC20" s="49"/>
      <c r="GD20" s="49"/>
      <c r="GE20" s="49"/>
      <c r="GF20" s="50"/>
      <c r="GG20" s="50"/>
      <c r="GH20" s="50"/>
      <c r="GI20" s="50"/>
      <c r="GJ20" s="50"/>
      <c r="GK20" s="52"/>
      <c r="GL20" s="52"/>
      <c r="GM20" s="52"/>
      <c r="GN20" s="52"/>
      <c r="GO20" s="52"/>
      <c r="GP20" s="45"/>
      <c r="GQ20" s="52"/>
      <c r="GR20" s="52"/>
      <c r="GS20" s="52"/>
      <c r="GT20" s="52"/>
      <c r="GU20" s="52"/>
      <c r="GV20" s="45"/>
    </row>
    <row r="21" spans="1:204" x14ac:dyDescent="0.3">
      <c r="A21" s="45">
        <v>0</v>
      </c>
      <c r="B21" s="47">
        <v>0</v>
      </c>
      <c r="C21" s="45">
        <v>0</v>
      </c>
      <c r="D21" s="45">
        <v>0</v>
      </c>
      <c r="E21" s="45">
        <v>0</v>
      </c>
      <c r="F21" s="48">
        <f t="shared" si="0"/>
        <v>0</v>
      </c>
      <c r="G21" s="48">
        <f t="shared" si="1"/>
        <v>0</v>
      </c>
      <c r="H21" s="48">
        <f t="shared" si="2"/>
        <v>0</v>
      </c>
      <c r="I21" s="48">
        <f t="shared" si="3"/>
        <v>0</v>
      </c>
      <c r="J21" s="48">
        <f t="shared" si="4"/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50">
        <f>(100000*K21/1000000)/(8.314*$J$85)</f>
        <v>0</v>
      </c>
      <c r="Q21" s="50">
        <f>(100000*L21/1000000)/(8.314*$J$85)</f>
        <v>0</v>
      </c>
      <c r="R21" s="50">
        <f>(100000*M21/1000000)/(8.314*$J$85)</f>
        <v>0</v>
      </c>
      <c r="S21" s="50">
        <f>(100000*N21/1000000)/(8.314*$J$85)</f>
        <v>0</v>
      </c>
      <c r="T21" s="50">
        <f>(100000*O21/1000000)/(8.314*$J$85)</f>
        <v>0</v>
      </c>
      <c r="U21" s="52">
        <f>($H$85-P21)*10^(3)/60/$B$35</f>
        <v>25.462703950974984</v>
      </c>
      <c r="V21" s="52">
        <f>($H$85-Q21)*10^(3)/60/$B$35</f>
        <v>25.462703950974984</v>
      </c>
      <c r="W21" s="52">
        <f>($H$85-R21)*10^(3)/60/$B$35</f>
        <v>25.462703950974984</v>
      </c>
      <c r="X21" s="52">
        <f>($H$85-S21)*10^(3)/60/$B$35</f>
        <v>25.462703950974984</v>
      </c>
      <c r="Y21" s="52">
        <f>($H$85-T21)*10^(3)/60/$B$35</f>
        <v>25.462703950974984</v>
      </c>
      <c r="Z21" s="65">
        <f t="shared" si="6"/>
        <v>0</v>
      </c>
      <c r="AA21" s="52">
        <f>($H$85-P21)*10^(3)/60/$B$35/$I$69</f>
        <v>1.7485733380133592</v>
      </c>
      <c r="AB21" s="52">
        <f>($H$85-Q21)*10^(3)/60/$B$35/$I$69</f>
        <v>1.7485733380133592</v>
      </c>
      <c r="AC21" s="52">
        <f>($H$85-R21)*10^(3)/60/$B$35/$I$69</f>
        <v>1.7485733380133592</v>
      </c>
      <c r="AD21" s="52">
        <f>($H$85-S21)*10^(3)/60/$B$35/$I$69</f>
        <v>1.7485733380133592</v>
      </c>
      <c r="AE21" s="52">
        <f>($H$85-T21)*10^(3)/60/$B$35/$I$69</f>
        <v>1.7485733380133592</v>
      </c>
      <c r="AF21" s="65">
        <f t="shared" si="7"/>
        <v>0</v>
      </c>
      <c r="AJ21" s="45"/>
      <c r="AK21" s="47"/>
      <c r="AL21" s="45"/>
      <c r="AM21" s="45"/>
      <c r="AN21" s="45"/>
      <c r="AO21" s="48"/>
      <c r="AP21" s="48"/>
      <c r="AQ21" s="48"/>
      <c r="AR21" s="48"/>
      <c r="AS21" s="48"/>
      <c r="AT21" s="49"/>
      <c r="AU21" s="49"/>
      <c r="AV21" s="49"/>
      <c r="AW21" s="49"/>
      <c r="AX21" s="49"/>
      <c r="AY21" s="50"/>
      <c r="AZ21" s="50"/>
      <c r="BA21" s="50"/>
      <c r="BB21" s="50"/>
      <c r="BC21" s="50"/>
      <c r="BD21" s="52"/>
      <c r="BE21" s="52"/>
      <c r="BF21" s="52"/>
      <c r="BG21" s="52"/>
      <c r="BH21" s="52"/>
      <c r="BI21" s="65"/>
      <c r="BJ21" s="52"/>
      <c r="BK21" s="52"/>
      <c r="BL21" s="52"/>
      <c r="BM21" s="52"/>
      <c r="BN21" s="52"/>
      <c r="BO21" s="65"/>
      <c r="BR21" s="45"/>
      <c r="BS21" s="47"/>
      <c r="BT21" s="45"/>
      <c r="BU21" s="45"/>
      <c r="BV21" s="45"/>
      <c r="BW21" s="48"/>
      <c r="BX21" s="48"/>
      <c r="BY21" s="48"/>
      <c r="BZ21" s="48"/>
      <c r="CA21" s="48"/>
      <c r="CB21" s="49"/>
      <c r="CC21" s="49"/>
      <c r="CD21" s="49"/>
      <c r="CE21" s="49"/>
      <c r="CF21" s="49"/>
      <c r="CG21" s="50"/>
      <c r="CH21" s="50"/>
      <c r="CI21" s="50"/>
      <c r="CJ21" s="50"/>
      <c r="CK21" s="50"/>
      <c r="CL21" s="52"/>
      <c r="CM21" s="52"/>
      <c r="CN21" s="52"/>
      <c r="CO21" s="52"/>
      <c r="CP21" s="52"/>
      <c r="CQ21" s="65"/>
      <c r="CR21" s="52"/>
      <c r="CS21" s="52"/>
      <c r="CT21" s="52"/>
      <c r="CU21" s="52"/>
      <c r="CV21" s="52"/>
      <c r="CW21" s="65"/>
      <c r="DA21" s="45"/>
      <c r="DB21" s="47"/>
      <c r="DC21" s="45"/>
      <c r="DD21" s="45"/>
      <c r="DE21" s="45"/>
      <c r="DF21" s="48"/>
      <c r="DG21" s="48"/>
      <c r="DH21" s="48"/>
      <c r="DI21" s="48"/>
      <c r="DJ21" s="48"/>
      <c r="DK21" s="49"/>
      <c r="DL21" s="49"/>
      <c r="DM21" s="49"/>
      <c r="DN21" s="49"/>
      <c r="DO21" s="49"/>
      <c r="DP21" s="50"/>
      <c r="DQ21" s="50"/>
      <c r="DR21" s="50"/>
      <c r="DS21" s="50"/>
      <c r="DT21" s="50"/>
      <c r="DU21" s="52"/>
      <c r="DV21" s="52"/>
      <c r="DW21" s="52"/>
      <c r="DX21" s="52"/>
      <c r="DY21" s="52"/>
      <c r="DZ21" s="65"/>
      <c r="EA21" s="52"/>
      <c r="EB21" s="52"/>
      <c r="EC21" s="52"/>
      <c r="ED21" s="52"/>
      <c r="EE21" s="52"/>
      <c r="EF21" s="65"/>
      <c r="EI21" s="45"/>
      <c r="EJ21" s="47"/>
      <c r="EK21" s="45"/>
      <c r="EL21" s="45"/>
      <c r="EM21" s="45"/>
      <c r="EN21" s="48"/>
      <c r="EO21" s="48"/>
      <c r="EP21" s="48"/>
      <c r="EQ21" s="48"/>
      <c r="ER21" s="48"/>
      <c r="ES21" s="49"/>
      <c r="ET21" s="49"/>
      <c r="EU21" s="49"/>
      <c r="EV21" s="49"/>
      <c r="EW21" s="49"/>
      <c r="EX21" s="50"/>
      <c r="EY21" s="50"/>
      <c r="EZ21" s="50"/>
      <c r="FA21" s="50"/>
      <c r="FB21" s="50"/>
      <c r="FC21" s="52"/>
      <c r="FD21" s="52"/>
      <c r="FE21" s="52"/>
      <c r="FF21" s="52"/>
      <c r="FG21" s="52"/>
      <c r="FH21" s="65"/>
      <c r="FI21" s="52"/>
      <c r="FJ21" s="52"/>
      <c r="FK21" s="52"/>
      <c r="FL21" s="52"/>
      <c r="FM21" s="52"/>
      <c r="FN21" s="65"/>
      <c r="FQ21" s="45"/>
      <c r="FR21" s="47"/>
      <c r="FS21" s="45"/>
      <c r="FT21" s="45"/>
      <c r="FU21" s="45"/>
      <c r="FV21" s="48"/>
      <c r="FW21" s="48"/>
      <c r="FX21" s="48"/>
      <c r="FY21" s="48"/>
      <c r="FZ21" s="48"/>
      <c r="GA21" s="49"/>
      <c r="GB21" s="49"/>
      <c r="GC21" s="49"/>
      <c r="GD21" s="49"/>
      <c r="GE21" s="49"/>
      <c r="GF21" s="50"/>
      <c r="GG21" s="50"/>
      <c r="GH21" s="50"/>
      <c r="GI21" s="50"/>
      <c r="GJ21" s="50"/>
      <c r="GK21" s="52"/>
      <c r="GL21" s="52"/>
      <c r="GM21" s="52"/>
      <c r="GN21" s="52"/>
      <c r="GO21" s="52"/>
      <c r="GP21" s="65"/>
      <c r="GQ21" s="52"/>
      <c r="GR21" s="52"/>
      <c r="GS21" s="52"/>
      <c r="GT21" s="52"/>
      <c r="GU21" s="52"/>
      <c r="GV21" s="65"/>
    </row>
    <row r="25" spans="1:204" x14ac:dyDescent="0.3">
      <c r="A25" s="1" t="s">
        <v>0</v>
      </c>
      <c r="B25" s="1">
        <v>50</v>
      </c>
      <c r="C25" s="1" t="s">
        <v>1</v>
      </c>
      <c r="G25" s="1" t="s">
        <v>9</v>
      </c>
      <c r="H25" s="1">
        <v>4.55</v>
      </c>
      <c r="I25" s="1" t="s">
        <v>1</v>
      </c>
      <c r="K25" s="1" t="s">
        <v>44</v>
      </c>
      <c r="L25" s="64">
        <v>1.03924094284E-5</v>
      </c>
      <c r="M25" s="1" t="s">
        <v>41</v>
      </c>
      <c r="Q25" t="s">
        <v>147</v>
      </c>
      <c r="AJ25" s="1" t="s">
        <v>0</v>
      </c>
      <c r="AK25" s="1">
        <v>50</v>
      </c>
      <c r="AL25" s="1" t="s">
        <v>1</v>
      </c>
      <c r="AP25" s="1" t="s">
        <v>9</v>
      </c>
      <c r="AQ25" s="1">
        <v>4.55</v>
      </c>
      <c r="AR25" s="1" t="s">
        <v>1</v>
      </c>
      <c r="AT25" s="1" t="s">
        <v>44</v>
      </c>
      <c r="AU25" s="64">
        <v>1.03924094284E-5</v>
      </c>
      <c r="AV25" s="1" t="s">
        <v>41</v>
      </c>
      <c r="BB25" t="s">
        <v>69</v>
      </c>
      <c r="BC25" s="1" t="s">
        <v>230</v>
      </c>
      <c r="BR25" s="1" t="s">
        <v>0</v>
      </c>
      <c r="BS25" s="1">
        <v>50</v>
      </c>
      <c r="BT25" s="1" t="s">
        <v>1</v>
      </c>
      <c r="BX25" s="1" t="s">
        <v>9</v>
      </c>
      <c r="BY25" s="1">
        <v>4.55</v>
      </c>
      <c r="BZ25" s="1" t="s">
        <v>1</v>
      </c>
      <c r="CB25" s="1" t="s">
        <v>44</v>
      </c>
      <c r="CC25" s="64">
        <v>1.03924094284E-5</v>
      </c>
      <c r="CD25" s="1" t="s">
        <v>41</v>
      </c>
      <c r="CJ25" t="s">
        <v>69</v>
      </c>
      <c r="CK25" s="1" t="s">
        <v>231</v>
      </c>
      <c r="DA25" s="1" t="s">
        <v>0</v>
      </c>
      <c r="DB25" s="1">
        <v>50</v>
      </c>
      <c r="DC25" s="1" t="s">
        <v>1</v>
      </c>
      <c r="DG25" s="1" t="s">
        <v>9</v>
      </c>
      <c r="DH25" s="1">
        <v>4.55</v>
      </c>
      <c r="DI25" s="1" t="s">
        <v>1</v>
      </c>
      <c r="DK25" s="1" t="s">
        <v>44</v>
      </c>
      <c r="DL25" s="64">
        <v>1.03924094284E-5</v>
      </c>
      <c r="DM25" s="1" t="s">
        <v>41</v>
      </c>
      <c r="DS25" s="1" t="s">
        <v>173</v>
      </c>
      <c r="DT25" s="1"/>
      <c r="EI25" s="1" t="s">
        <v>0</v>
      </c>
      <c r="EJ25" s="1">
        <v>50</v>
      </c>
      <c r="EK25" s="1" t="s">
        <v>1</v>
      </c>
      <c r="EO25" s="1" t="s">
        <v>9</v>
      </c>
      <c r="EP25" s="1">
        <v>4.55</v>
      </c>
      <c r="EQ25" s="1" t="s">
        <v>1</v>
      </c>
      <c r="ES25" s="1" t="s">
        <v>44</v>
      </c>
      <c r="ET25" s="64">
        <v>1.03924094284E-5</v>
      </c>
      <c r="EU25" s="1" t="s">
        <v>41</v>
      </c>
      <c r="FA25" s="1" t="s">
        <v>174</v>
      </c>
      <c r="FB25" s="1"/>
      <c r="FQ25" s="1" t="s">
        <v>0</v>
      </c>
      <c r="FR25" s="1">
        <v>50</v>
      </c>
      <c r="FS25" s="1" t="s">
        <v>1</v>
      </c>
      <c r="FW25" s="1" t="s">
        <v>9</v>
      </c>
      <c r="FX25" s="1">
        <v>4.55</v>
      </c>
      <c r="FY25" s="1" t="s">
        <v>1</v>
      </c>
      <c r="GA25" s="1" t="s">
        <v>44</v>
      </c>
      <c r="GB25" s="64">
        <v>1.03924094284E-5</v>
      </c>
      <c r="GC25" s="1" t="s">
        <v>41</v>
      </c>
      <c r="GI25" s="1" t="s">
        <v>175</v>
      </c>
      <c r="GJ25" s="1"/>
    </row>
    <row r="26" spans="1:204" x14ac:dyDescent="0.3">
      <c r="A26" t="s">
        <v>2</v>
      </c>
      <c r="B26" t="s">
        <v>3</v>
      </c>
      <c r="C26">
        <v>11.96</v>
      </c>
      <c r="D26">
        <v>12</v>
      </c>
      <c r="E26">
        <v>12</v>
      </c>
      <c r="F26">
        <v>12</v>
      </c>
      <c r="G26">
        <v>11.9</v>
      </c>
      <c r="L26" s="4">
        <f>L25/1000</f>
        <v>1.03924094284E-8</v>
      </c>
      <c r="M26" t="s">
        <v>113</v>
      </c>
      <c r="Q26" s="23">
        <v>42513</v>
      </c>
      <c r="S26" t="s">
        <v>151</v>
      </c>
      <c r="V26" t="s">
        <v>152</v>
      </c>
      <c r="AJ26" t="s">
        <v>2</v>
      </c>
      <c r="AK26" t="s">
        <v>3</v>
      </c>
      <c r="AL26">
        <v>5.98</v>
      </c>
      <c r="AM26">
        <v>5.99</v>
      </c>
      <c r="AN26">
        <v>5.95</v>
      </c>
      <c r="AO26">
        <v>5.97</v>
      </c>
      <c r="AP26">
        <v>5.96</v>
      </c>
      <c r="AU26" s="4">
        <f>AU25/1000</f>
        <v>1.03924094284E-8</v>
      </c>
      <c r="AV26" t="s">
        <v>113</v>
      </c>
      <c r="BB26" s="23">
        <v>42522</v>
      </c>
      <c r="BD26" t="s">
        <v>151</v>
      </c>
      <c r="BG26" t="s">
        <v>152</v>
      </c>
      <c r="BR26" t="s">
        <v>2</v>
      </c>
      <c r="BS26" t="s">
        <v>3</v>
      </c>
      <c r="BT26">
        <v>5.93</v>
      </c>
      <c r="BU26">
        <v>5.96</v>
      </c>
      <c r="BV26">
        <v>5.93</v>
      </c>
      <c r="BW26">
        <v>5.97</v>
      </c>
      <c r="BX26">
        <v>6</v>
      </c>
      <c r="CC26" s="4">
        <f>CC25/1000</f>
        <v>1.03924094284E-8</v>
      </c>
      <c r="CD26" t="s">
        <v>113</v>
      </c>
      <c r="CJ26" s="23">
        <v>42523</v>
      </c>
      <c r="CL26" t="s">
        <v>151</v>
      </c>
      <c r="CO26" t="s">
        <v>152</v>
      </c>
      <c r="DA26" t="s">
        <v>2</v>
      </c>
      <c r="DB26" t="s">
        <v>3</v>
      </c>
      <c r="DC26">
        <v>5.88</v>
      </c>
      <c r="DD26">
        <v>5.9</v>
      </c>
      <c r="DE26">
        <v>5.98</v>
      </c>
      <c r="DF26">
        <v>5.92</v>
      </c>
      <c r="DG26">
        <v>5.91</v>
      </c>
      <c r="DH26">
        <v>5.93</v>
      </c>
      <c r="DL26" s="4">
        <f>DL25/1000</f>
        <v>1.03924094284E-8</v>
      </c>
      <c r="DM26" t="s">
        <v>113</v>
      </c>
      <c r="DS26" s="23">
        <v>42529</v>
      </c>
      <c r="DU26" t="s">
        <v>151</v>
      </c>
      <c r="DX26" t="s">
        <v>152</v>
      </c>
      <c r="EI26" t="s">
        <v>2</v>
      </c>
      <c r="EJ26" t="s">
        <v>3</v>
      </c>
      <c r="EK26">
        <v>5.91</v>
      </c>
      <c r="EL26">
        <v>5.88</v>
      </c>
      <c r="EM26">
        <v>5.96</v>
      </c>
      <c r="EN26">
        <v>5.89</v>
      </c>
      <c r="EO26">
        <v>5.98</v>
      </c>
      <c r="ET26" s="4">
        <f>ET25/1000</f>
        <v>1.03924094284E-8</v>
      </c>
      <c r="EU26" t="s">
        <v>113</v>
      </c>
      <c r="FA26" s="23">
        <v>42535</v>
      </c>
      <c r="FC26" t="s">
        <v>151</v>
      </c>
      <c r="FF26" t="s">
        <v>152</v>
      </c>
      <c r="FQ26" t="s">
        <v>2</v>
      </c>
      <c r="FR26" t="s">
        <v>3</v>
      </c>
      <c r="FS26">
        <v>5.86</v>
      </c>
      <c r="FT26">
        <v>5.9</v>
      </c>
      <c r="FU26">
        <v>5.93</v>
      </c>
      <c r="FV26">
        <v>5.97</v>
      </c>
      <c r="FW26">
        <v>5.97</v>
      </c>
      <c r="FX26">
        <v>5.93</v>
      </c>
      <c r="GB26" s="4">
        <f>GB25/1000</f>
        <v>1.03924094284E-8</v>
      </c>
      <c r="GC26" t="s">
        <v>113</v>
      </c>
      <c r="GI26" s="23">
        <v>42537</v>
      </c>
      <c r="GK26" t="s">
        <v>151</v>
      </c>
      <c r="GN26" t="s">
        <v>152</v>
      </c>
    </row>
    <row r="27" spans="1:204" x14ac:dyDescent="0.3">
      <c r="A27" t="s">
        <v>7</v>
      </c>
      <c r="B27" t="s">
        <v>6</v>
      </c>
      <c r="C27">
        <f>SUM(C26:G26)/5/60</f>
        <v>0.19953333333333331</v>
      </c>
      <c r="F27" t="s">
        <v>25</v>
      </c>
      <c r="S27" t="s">
        <v>148</v>
      </c>
      <c r="T27" t="s">
        <v>149</v>
      </c>
      <c r="U27" t="s">
        <v>150</v>
      </c>
      <c r="V27" t="s">
        <v>148</v>
      </c>
      <c r="AJ27" t="s">
        <v>7</v>
      </c>
      <c r="AK27" t="s">
        <v>6</v>
      </c>
      <c r="AL27">
        <f>SUM(AL26:AP26)/5/60</f>
        <v>9.9500000000000005E-2</v>
      </c>
      <c r="AO27" t="s">
        <v>25</v>
      </c>
      <c r="BD27" t="s">
        <v>148</v>
      </c>
      <c r="BE27" t="s">
        <v>149</v>
      </c>
      <c r="BF27" t="s">
        <v>150</v>
      </c>
      <c r="BG27" t="s">
        <v>148</v>
      </c>
      <c r="BR27" t="s">
        <v>7</v>
      </c>
      <c r="BS27" t="s">
        <v>6</v>
      </c>
      <c r="BT27">
        <f>SUM(BT26:BX26)/5/60</f>
        <v>9.9299999999999999E-2</v>
      </c>
      <c r="BW27" t="s">
        <v>25</v>
      </c>
      <c r="CL27" t="s">
        <v>148</v>
      </c>
      <c r="CM27" t="s">
        <v>149</v>
      </c>
      <c r="CN27" t="s">
        <v>150</v>
      </c>
      <c r="CO27" t="s">
        <v>148</v>
      </c>
      <c r="DA27" t="s">
        <v>7</v>
      </c>
      <c r="DB27" t="s">
        <v>6</v>
      </c>
      <c r="DC27">
        <f>SUM(DC26:DH26)/6/60</f>
        <v>9.8666666666666653E-2</v>
      </c>
      <c r="DF27" t="s">
        <v>25</v>
      </c>
      <c r="DU27" t="s">
        <v>148</v>
      </c>
      <c r="DV27" t="s">
        <v>149</v>
      </c>
      <c r="DW27" t="s">
        <v>150</v>
      </c>
      <c r="DX27" t="s">
        <v>148</v>
      </c>
      <c r="EI27" t="s">
        <v>7</v>
      </c>
      <c r="EJ27" t="s">
        <v>6</v>
      </c>
      <c r="EK27">
        <f>SUM(EK26:EO26)/5/60</f>
        <v>9.873333333333334E-2</v>
      </c>
      <c r="EN27" t="s">
        <v>25</v>
      </c>
      <c r="FC27" t="s">
        <v>148</v>
      </c>
      <c r="FD27" t="s">
        <v>149</v>
      </c>
      <c r="FE27" t="s">
        <v>150</v>
      </c>
      <c r="FF27" t="s">
        <v>148</v>
      </c>
      <c r="FQ27" t="s">
        <v>7</v>
      </c>
      <c r="FR27" t="s">
        <v>6</v>
      </c>
      <c r="FS27">
        <f>SUM(FS26:FX26)/6/60</f>
        <v>9.8777777777777784E-2</v>
      </c>
      <c r="FV27" t="s">
        <v>25</v>
      </c>
      <c r="GK27" t="s">
        <v>148</v>
      </c>
      <c r="GL27" t="s">
        <v>149</v>
      </c>
      <c r="GM27" t="s">
        <v>150</v>
      </c>
      <c r="GN27" t="s">
        <v>148</v>
      </c>
    </row>
    <row r="28" spans="1:204" x14ac:dyDescent="0.3">
      <c r="A28" t="s">
        <v>8</v>
      </c>
      <c r="B28" t="s">
        <v>1</v>
      </c>
      <c r="C28">
        <f>C29/C27</f>
        <v>50.116939525559644</v>
      </c>
      <c r="E28">
        <f>F28/60</f>
        <v>1.6666666666666666E-2</v>
      </c>
      <c r="F28">
        <v>1</v>
      </c>
      <c r="G28" t="s">
        <v>13</v>
      </c>
      <c r="H28">
        <v>15.21</v>
      </c>
      <c r="I28">
        <v>15.96</v>
      </c>
      <c r="J28">
        <v>15.27</v>
      </c>
      <c r="K28">
        <v>15.53</v>
      </c>
      <c r="L28">
        <v>15.59</v>
      </c>
      <c r="M28">
        <v>15.9</v>
      </c>
      <c r="N28">
        <v>15.71</v>
      </c>
      <c r="S28">
        <v>21.15</v>
      </c>
      <c r="T28">
        <v>19</v>
      </c>
      <c r="U28">
        <v>18</v>
      </c>
      <c r="V28">
        <f>S28+273.15</f>
        <v>294.29999999999995</v>
      </c>
      <c r="AJ28" t="s">
        <v>8</v>
      </c>
      <c r="AK28" t="s">
        <v>1</v>
      </c>
      <c r="AL28">
        <f>AL29/AL27</f>
        <v>50.251256281407031</v>
      </c>
      <c r="AN28">
        <f>AO28/60</f>
        <v>1.6666666666666666E-2</v>
      </c>
      <c r="AO28">
        <v>1</v>
      </c>
      <c r="AP28" t="s">
        <v>13</v>
      </c>
      <c r="AQ28">
        <v>11.7</v>
      </c>
      <c r="AR28">
        <v>11.21</v>
      </c>
      <c r="AS28">
        <v>11.03</v>
      </c>
      <c r="AT28">
        <v>11.37</v>
      </c>
      <c r="AU28">
        <v>11.78</v>
      </c>
      <c r="AV28">
        <v>11.97</v>
      </c>
      <c r="AW28">
        <v>12.22</v>
      </c>
      <c r="AX28">
        <v>12.18</v>
      </c>
      <c r="AY28">
        <v>12.26</v>
      </c>
      <c r="AZ28">
        <v>12.18</v>
      </c>
      <c r="BD28">
        <v>18</v>
      </c>
      <c r="BE28">
        <v>14</v>
      </c>
      <c r="BF28">
        <v>19</v>
      </c>
      <c r="BG28">
        <f>BD28+273.15</f>
        <v>291.14999999999998</v>
      </c>
      <c r="BR28" t="s">
        <v>8</v>
      </c>
      <c r="BS28" t="s">
        <v>1</v>
      </c>
      <c r="BT28">
        <f>BT29/BT27</f>
        <v>50.352467270896277</v>
      </c>
      <c r="BV28">
        <f>BW28/60</f>
        <v>1.6666666666666666E-2</v>
      </c>
      <c r="BW28">
        <v>1</v>
      </c>
      <c r="BX28" t="s">
        <v>13</v>
      </c>
      <c r="BY28">
        <v>11.19</v>
      </c>
      <c r="BZ28">
        <v>10.64</v>
      </c>
      <c r="CA28">
        <v>10.83</v>
      </c>
      <c r="CB28">
        <v>10.88</v>
      </c>
      <c r="CC28">
        <v>10.96</v>
      </c>
      <c r="CD28">
        <v>11.19</v>
      </c>
      <c r="CE28">
        <v>11.14</v>
      </c>
      <c r="CF28">
        <v>11.22</v>
      </c>
      <c r="CG28">
        <v>11.2</v>
      </c>
      <c r="CH28">
        <v>11.25</v>
      </c>
      <c r="CL28">
        <v>17</v>
      </c>
      <c r="CM28">
        <v>13</v>
      </c>
      <c r="CN28">
        <v>19</v>
      </c>
      <c r="CO28">
        <f>CL28+273.15</f>
        <v>290.14999999999998</v>
      </c>
      <c r="DA28" t="s">
        <v>8</v>
      </c>
      <c r="DB28" t="s">
        <v>1</v>
      </c>
      <c r="DC28">
        <f>DC29/DC27</f>
        <v>50.675675675675684</v>
      </c>
      <c r="DE28">
        <f>DF28/60</f>
        <v>1.6666666666666666E-2</v>
      </c>
      <c r="DF28">
        <v>1</v>
      </c>
      <c r="DG28" t="s">
        <v>13</v>
      </c>
      <c r="DH28">
        <v>6.68</v>
      </c>
      <c r="DI28">
        <v>6.6</v>
      </c>
      <c r="DJ28">
        <v>6.59</v>
      </c>
      <c r="DK28">
        <v>6.68</v>
      </c>
      <c r="DL28">
        <v>6.7</v>
      </c>
      <c r="DM28">
        <v>6.77</v>
      </c>
      <c r="DU28">
        <v>20.100000000000001</v>
      </c>
      <c r="DV28">
        <v>17</v>
      </c>
      <c r="DW28">
        <v>19</v>
      </c>
      <c r="DX28">
        <f>DU28+273.15</f>
        <v>293.25</v>
      </c>
      <c r="EI28" t="s">
        <v>8</v>
      </c>
      <c r="EJ28" t="s">
        <v>1</v>
      </c>
      <c r="EK28">
        <f>EK29/EK27</f>
        <v>50.641458474004047</v>
      </c>
      <c r="EM28">
        <f>EN28/60</f>
        <v>1.6666666666666666E-2</v>
      </c>
      <c r="EN28">
        <v>1</v>
      </c>
      <c r="EO28" t="s">
        <v>13</v>
      </c>
      <c r="EP28">
        <v>6.05</v>
      </c>
      <c r="EQ28">
        <v>6</v>
      </c>
      <c r="ER28">
        <v>6.06</v>
      </c>
      <c r="ES28">
        <v>6.09</v>
      </c>
      <c r="ET28">
        <v>6.01</v>
      </c>
      <c r="EU28">
        <v>6.05</v>
      </c>
      <c r="FC28">
        <v>21.8</v>
      </c>
      <c r="FD28">
        <v>19</v>
      </c>
      <c r="FE28">
        <v>19</v>
      </c>
      <c r="FF28">
        <f>FC28+273.15</f>
        <v>294.95</v>
      </c>
      <c r="FQ28" t="s">
        <v>8</v>
      </c>
      <c r="FR28" t="s">
        <v>1</v>
      </c>
      <c r="FS28">
        <f>FS29/FS27</f>
        <v>50.618672665916755</v>
      </c>
      <c r="FU28">
        <f>FV28/60</f>
        <v>1.6666666666666666E-2</v>
      </c>
      <c r="FV28">
        <v>1</v>
      </c>
      <c r="FW28" t="s">
        <v>13</v>
      </c>
      <c r="FX28">
        <v>5.92</v>
      </c>
      <c r="FY28">
        <v>6.09</v>
      </c>
      <c r="FZ28">
        <v>6.15</v>
      </c>
      <c r="GA28">
        <v>5.9</v>
      </c>
      <c r="GB28">
        <v>5.88</v>
      </c>
      <c r="GC28">
        <v>5.97</v>
      </c>
      <c r="GK28">
        <v>21.8</v>
      </c>
      <c r="GL28">
        <v>19</v>
      </c>
      <c r="GM28">
        <v>19</v>
      </c>
      <c r="GN28">
        <f>GK28+273.15</f>
        <v>294.95</v>
      </c>
    </row>
    <row r="29" spans="1:204" x14ac:dyDescent="0.3">
      <c r="A29" t="s">
        <v>4</v>
      </c>
      <c r="B29" t="s">
        <v>5</v>
      </c>
      <c r="C29">
        <v>10</v>
      </c>
      <c r="G29" t="s">
        <v>7</v>
      </c>
      <c r="H29">
        <f>SUM(H28:N28)/7</f>
        <v>15.595714285714289</v>
      </c>
      <c r="AJ29" t="s">
        <v>4</v>
      </c>
      <c r="AK29" t="s">
        <v>5</v>
      </c>
      <c r="AL29">
        <v>5</v>
      </c>
      <c r="AP29" t="s">
        <v>7</v>
      </c>
      <c r="AQ29">
        <f>SUM(AQ28:AZ28)/10</f>
        <v>11.790000000000001</v>
      </c>
      <c r="BR29" t="s">
        <v>4</v>
      </c>
      <c r="BS29" t="s">
        <v>5</v>
      </c>
      <c r="BT29">
        <v>5</v>
      </c>
      <c r="BX29" t="s">
        <v>7</v>
      </c>
      <c r="BY29">
        <f>SUM(BY28:CH28)/10</f>
        <v>11.05</v>
      </c>
      <c r="DA29" t="s">
        <v>4</v>
      </c>
      <c r="DB29" t="s">
        <v>5</v>
      </c>
      <c r="DC29">
        <v>5</v>
      </c>
      <c r="DG29" t="s">
        <v>7</v>
      </c>
      <c r="DH29">
        <f>SUM(DH28:DM28)/6</f>
        <v>6.669999999999999</v>
      </c>
      <c r="EI29" t="s">
        <v>4</v>
      </c>
      <c r="EJ29" t="s">
        <v>5</v>
      </c>
      <c r="EK29">
        <v>5</v>
      </c>
      <c r="EO29" t="s">
        <v>7</v>
      </c>
      <c r="EP29">
        <f>SUM(EP28:EU28)/6</f>
        <v>6.043333333333333</v>
      </c>
      <c r="FQ29" t="s">
        <v>4</v>
      </c>
      <c r="FR29" t="s">
        <v>5</v>
      </c>
      <c r="FS29">
        <v>5</v>
      </c>
      <c r="FW29" t="s">
        <v>7</v>
      </c>
      <c r="FX29">
        <f>SUM(FX28:GC28)/6</f>
        <v>5.9850000000000003</v>
      </c>
    </row>
    <row r="30" spans="1:204" x14ac:dyDescent="0.3">
      <c r="E30">
        <f t="shared" ref="E30:E62" si="70">F30/60</f>
        <v>0.5</v>
      </c>
      <c r="F30">
        <v>30</v>
      </c>
      <c r="G30" t="s">
        <v>13</v>
      </c>
      <c r="H30">
        <v>16.93</v>
      </c>
      <c r="I30">
        <v>16.87</v>
      </c>
      <c r="J30">
        <v>16.829999999999998</v>
      </c>
      <c r="K30">
        <v>17.13</v>
      </c>
      <c r="L30">
        <v>17.04</v>
      </c>
      <c r="M30">
        <v>16.899999999999999</v>
      </c>
      <c r="S30">
        <v>22.8</v>
      </c>
      <c r="T30">
        <v>19</v>
      </c>
      <c r="U30">
        <v>20</v>
      </c>
      <c r="V30">
        <f t="shared" ref="V30:V38" si="71">S30+273.15</f>
        <v>295.95</v>
      </c>
      <c r="AN30">
        <f>AO30/60</f>
        <v>0.5</v>
      </c>
      <c r="AO30">
        <v>30</v>
      </c>
      <c r="AP30" t="s">
        <v>13</v>
      </c>
      <c r="AQ30">
        <v>12.34</v>
      </c>
      <c r="AR30">
        <v>12.5</v>
      </c>
      <c r="AS30">
        <v>12.49</v>
      </c>
      <c r="AT30">
        <v>12.38</v>
      </c>
      <c r="AU30">
        <v>12.3</v>
      </c>
      <c r="AV30">
        <v>12.4</v>
      </c>
      <c r="BD30">
        <v>18.7</v>
      </c>
      <c r="BE30">
        <v>14</v>
      </c>
      <c r="BF30">
        <v>19</v>
      </c>
      <c r="BG30">
        <f>BD30+273.15</f>
        <v>291.84999999999997</v>
      </c>
      <c r="BV30">
        <f>BW30/60</f>
        <v>0.5</v>
      </c>
      <c r="BW30">
        <v>30</v>
      </c>
      <c r="BX30" t="s">
        <v>13</v>
      </c>
      <c r="BY30">
        <v>11.4</v>
      </c>
      <c r="BZ30">
        <v>11.31</v>
      </c>
      <c r="CA30">
        <v>11.42</v>
      </c>
      <c r="CB30">
        <v>11.34</v>
      </c>
      <c r="CC30">
        <v>11.25</v>
      </c>
      <c r="CD30">
        <v>11.5</v>
      </c>
      <c r="CL30">
        <v>18.100000000000001</v>
      </c>
      <c r="CM30">
        <v>14</v>
      </c>
      <c r="CN30">
        <v>19</v>
      </c>
      <c r="CO30">
        <f>CL30+273.15</f>
        <v>291.25</v>
      </c>
      <c r="DE30">
        <f>DF30/60</f>
        <v>0.5</v>
      </c>
      <c r="DF30">
        <v>30</v>
      </c>
      <c r="DG30" t="s">
        <v>13</v>
      </c>
      <c r="DH30">
        <v>6.71</v>
      </c>
      <c r="DI30">
        <v>6.73</v>
      </c>
      <c r="DJ30">
        <v>6.72</v>
      </c>
      <c r="DK30">
        <v>6.75</v>
      </c>
      <c r="DL30">
        <v>6.76</v>
      </c>
      <c r="DM30">
        <v>6.76</v>
      </c>
      <c r="DU30">
        <v>22</v>
      </c>
      <c r="DV30">
        <v>19</v>
      </c>
      <c r="DW30">
        <v>20</v>
      </c>
      <c r="DX30">
        <f>DU30+273.15</f>
        <v>295.14999999999998</v>
      </c>
      <c r="EM30">
        <f>EN30/60</f>
        <v>0.5</v>
      </c>
      <c r="EN30">
        <v>30</v>
      </c>
      <c r="EO30" t="s">
        <v>13</v>
      </c>
      <c r="EP30">
        <v>6.12</v>
      </c>
      <c r="EQ30">
        <v>6.1</v>
      </c>
      <c r="ER30">
        <v>6.06</v>
      </c>
      <c r="ES30">
        <v>6.08</v>
      </c>
      <c r="ET30">
        <v>6.03</v>
      </c>
      <c r="EU30">
        <v>6.07</v>
      </c>
      <c r="FC30">
        <v>23.9</v>
      </c>
      <c r="FD30">
        <v>20</v>
      </c>
      <c r="FE30">
        <v>20</v>
      </c>
      <c r="FF30">
        <f>FC30+273.15</f>
        <v>297.04999999999995</v>
      </c>
      <c r="FU30">
        <f>FV30/60</f>
        <v>0.5</v>
      </c>
      <c r="FV30">
        <v>30</v>
      </c>
      <c r="FW30" t="s">
        <v>13</v>
      </c>
      <c r="FX30">
        <v>6.02</v>
      </c>
      <c r="FY30">
        <v>6</v>
      </c>
      <c r="FZ30">
        <v>6.06</v>
      </c>
      <c r="GA30">
        <v>6.07</v>
      </c>
      <c r="GB30">
        <v>6.05</v>
      </c>
      <c r="GC30">
        <v>5.9</v>
      </c>
      <c r="GK30">
        <v>23.6</v>
      </c>
      <c r="GL30">
        <v>20</v>
      </c>
      <c r="GM30">
        <v>19</v>
      </c>
      <c r="GN30">
        <f>GK30+273.15</f>
        <v>296.75</v>
      </c>
    </row>
    <row r="31" spans="1:204" x14ac:dyDescent="0.3">
      <c r="A31" t="s">
        <v>16</v>
      </c>
      <c r="B31" s="4">
        <v>5.3900000000000002E-5</v>
      </c>
      <c r="G31" t="s">
        <v>7</v>
      </c>
      <c r="H31">
        <f>SUM(H30:M30)/6</f>
        <v>16.95</v>
      </c>
      <c r="AJ31" t="s">
        <v>16</v>
      </c>
      <c r="AK31" s="4">
        <v>5.3900000000000002E-5</v>
      </c>
      <c r="AP31" t="s">
        <v>7</v>
      </c>
      <c r="AQ31">
        <f>SUM(AQ30:AV30)/6</f>
        <v>12.401666666666669</v>
      </c>
      <c r="BR31" t="s">
        <v>16</v>
      </c>
      <c r="BS31" s="4">
        <v>5.3900000000000002E-5</v>
      </c>
      <c r="BX31" t="s">
        <v>7</v>
      </c>
      <c r="BY31">
        <f>SUM(BY30:CD30)/6</f>
        <v>11.37</v>
      </c>
      <c r="DA31" t="s">
        <v>16</v>
      </c>
      <c r="DB31" s="4">
        <v>5.3900000000000002E-5</v>
      </c>
      <c r="DG31" t="s">
        <v>7</v>
      </c>
      <c r="DH31" s="78">
        <f>SUM(DH30:DM30)/6</f>
        <v>6.7383333333333333</v>
      </c>
      <c r="EI31" t="s">
        <v>16</v>
      </c>
      <c r="EJ31" s="4">
        <v>5.3900000000000002E-5</v>
      </c>
      <c r="EO31" t="s">
        <v>7</v>
      </c>
      <c r="EP31" s="78">
        <f>SUM(EP30:EU30)/6</f>
        <v>6.0766666666666671</v>
      </c>
      <c r="FQ31" t="s">
        <v>16</v>
      </c>
      <c r="FR31" s="4">
        <v>5.3900000000000002E-5</v>
      </c>
      <c r="FW31" t="s">
        <v>7</v>
      </c>
      <c r="FX31" s="78">
        <f>SUM(FX30:GC30)/6</f>
        <v>6.0166666666666666</v>
      </c>
    </row>
    <row r="32" spans="1:204" x14ac:dyDescent="0.3">
      <c r="A32" t="s">
        <v>17</v>
      </c>
      <c r="B32" s="4">
        <v>7.5833300000000004E-8</v>
      </c>
      <c r="E32">
        <f t="shared" si="70"/>
        <v>1</v>
      </c>
      <c r="F32">
        <v>60</v>
      </c>
      <c r="G32" t="s">
        <v>13</v>
      </c>
      <c r="H32">
        <v>17.18</v>
      </c>
      <c r="I32">
        <v>17.190000000000001</v>
      </c>
      <c r="J32">
        <v>17.149999999999999</v>
      </c>
      <c r="K32">
        <v>17.12</v>
      </c>
      <c r="L32">
        <v>16.93</v>
      </c>
      <c r="M32">
        <v>17.309999999999999</v>
      </c>
      <c r="S32">
        <v>23.15</v>
      </c>
      <c r="T32">
        <v>19</v>
      </c>
      <c r="U32">
        <v>20</v>
      </c>
      <c r="V32">
        <f t="shared" si="71"/>
        <v>296.29999999999995</v>
      </c>
      <c r="AJ32" t="s">
        <v>17</v>
      </c>
      <c r="AK32" s="4">
        <v>7.5833300000000004E-8</v>
      </c>
      <c r="AN32">
        <f>AO32/60</f>
        <v>1</v>
      </c>
      <c r="AO32">
        <v>60</v>
      </c>
      <c r="AP32" t="s">
        <v>13</v>
      </c>
      <c r="AQ32">
        <v>12.47</v>
      </c>
      <c r="AR32">
        <v>12.46</v>
      </c>
      <c r="AS32">
        <v>12.45</v>
      </c>
      <c r="AT32">
        <v>12.4</v>
      </c>
      <c r="AU32">
        <v>12.47</v>
      </c>
      <c r="AV32">
        <v>12.46</v>
      </c>
      <c r="BD32">
        <v>19.100000000000001</v>
      </c>
      <c r="BE32">
        <v>15</v>
      </c>
      <c r="BF32">
        <v>20</v>
      </c>
      <c r="BG32">
        <f>BD32+273.15</f>
        <v>292.25</v>
      </c>
      <c r="BR32" t="s">
        <v>17</v>
      </c>
      <c r="BS32" s="4">
        <v>7.5833300000000004E-8</v>
      </c>
      <c r="BV32">
        <f>BW32/60</f>
        <v>1</v>
      </c>
      <c r="BW32">
        <v>60</v>
      </c>
      <c r="BX32" t="s">
        <v>13</v>
      </c>
      <c r="BY32">
        <v>11.38</v>
      </c>
      <c r="BZ32">
        <v>11.34</v>
      </c>
      <c r="CA32">
        <v>11.48</v>
      </c>
      <c r="CB32">
        <v>11.4</v>
      </c>
      <c r="CC32">
        <v>11.32</v>
      </c>
      <c r="CD32">
        <v>11.28</v>
      </c>
      <c r="CE32">
        <v>11.38</v>
      </c>
      <c r="CL32">
        <v>18.399999999999999</v>
      </c>
      <c r="CM32">
        <v>13</v>
      </c>
      <c r="CN32">
        <v>20</v>
      </c>
      <c r="CO32">
        <f>CL32+273.15</f>
        <v>291.54999999999995</v>
      </c>
      <c r="DA32" t="s">
        <v>17</v>
      </c>
      <c r="DB32" s="4">
        <v>7.5833300000000004E-8</v>
      </c>
      <c r="DE32">
        <f>DF32/60</f>
        <v>1</v>
      </c>
      <c r="DF32">
        <v>60</v>
      </c>
      <c r="DG32" t="s">
        <v>13</v>
      </c>
      <c r="DH32">
        <v>6.76</v>
      </c>
      <c r="DI32">
        <v>6.81</v>
      </c>
      <c r="DJ32">
        <v>6.62</v>
      </c>
      <c r="DK32">
        <v>6.68</v>
      </c>
      <c r="DL32">
        <v>6.76</v>
      </c>
      <c r="DM32">
        <v>6.81</v>
      </c>
      <c r="DU32">
        <v>23.1</v>
      </c>
      <c r="DV32">
        <v>19</v>
      </c>
      <c r="DW32">
        <v>20</v>
      </c>
      <c r="DX32">
        <f>DU32+273.15</f>
        <v>296.25</v>
      </c>
      <c r="EI32" t="s">
        <v>17</v>
      </c>
      <c r="EJ32" s="4">
        <v>7.5833300000000004E-8</v>
      </c>
      <c r="EM32">
        <f>EN32/60</f>
        <v>1</v>
      </c>
      <c r="EN32">
        <v>60</v>
      </c>
      <c r="EO32" t="s">
        <v>13</v>
      </c>
      <c r="EP32">
        <v>6.08</v>
      </c>
      <c r="EQ32">
        <v>6.01</v>
      </c>
      <c r="ER32">
        <v>6.12</v>
      </c>
      <c r="ES32">
        <v>6.06</v>
      </c>
      <c r="ET32">
        <v>6.15</v>
      </c>
      <c r="EU32">
        <v>6.07</v>
      </c>
      <c r="FC32">
        <v>24.5</v>
      </c>
      <c r="FD32">
        <v>20</v>
      </c>
      <c r="FE32">
        <v>20</v>
      </c>
      <c r="FF32">
        <f>FC32+273.15</f>
        <v>297.64999999999998</v>
      </c>
      <c r="FQ32" t="s">
        <v>17</v>
      </c>
      <c r="FR32" s="4">
        <v>7.5833300000000004E-8</v>
      </c>
      <c r="FU32">
        <f>FV32/60</f>
        <v>1</v>
      </c>
      <c r="FV32">
        <v>60</v>
      </c>
      <c r="FW32" t="s">
        <v>13</v>
      </c>
      <c r="FX32">
        <v>5.9</v>
      </c>
      <c r="FY32">
        <v>5.96</v>
      </c>
      <c r="FZ32">
        <v>6.21</v>
      </c>
      <c r="GA32">
        <v>5.97</v>
      </c>
      <c r="GB32">
        <v>6.03</v>
      </c>
      <c r="GC32">
        <v>6.17</v>
      </c>
      <c r="GK32">
        <v>24</v>
      </c>
      <c r="GL32">
        <v>20</v>
      </c>
      <c r="GM32">
        <v>20</v>
      </c>
      <c r="GN32">
        <f>GK32+273.15</f>
        <v>297.14999999999998</v>
      </c>
    </row>
    <row r="33" spans="1:196" x14ac:dyDescent="0.3">
      <c r="A33" t="s">
        <v>18</v>
      </c>
      <c r="B33" s="4">
        <v>1.41E-3</v>
      </c>
      <c r="G33" t="s">
        <v>7</v>
      </c>
      <c r="H33">
        <f>SUM(H32:M32)/6</f>
        <v>17.146666666666665</v>
      </c>
      <c r="AJ33" t="s">
        <v>18</v>
      </c>
      <c r="AK33" s="4">
        <v>1.41E-3</v>
      </c>
      <c r="AP33" t="s">
        <v>7</v>
      </c>
      <c r="AQ33">
        <f>SUM(AQ32:AV32)/6</f>
        <v>12.451666666666666</v>
      </c>
      <c r="BR33" t="s">
        <v>18</v>
      </c>
      <c r="BS33" s="4">
        <v>1.41E-3</v>
      </c>
      <c r="BX33" t="s">
        <v>7</v>
      </c>
      <c r="BY33" s="11">
        <f>SUM(BY32:CE32)/7</f>
        <v>11.368571428571428</v>
      </c>
      <c r="DA33" t="s">
        <v>18</v>
      </c>
      <c r="DB33" s="4">
        <v>1.41E-3</v>
      </c>
      <c r="DG33" t="s">
        <v>7</v>
      </c>
      <c r="DH33" s="78">
        <f>SUM(DH32:DM32)/6</f>
        <v>6.7400000000000011</v>
      </c>
      <c r="EI33" t="s">
        <v>18</v>
      </c>
      <c r="EJ33" s="4">
        <v>1.41E-3</v>
      </c>
      <c r="EO33" t="s">
        <v>7</v>
      </c>
      <c r="EP33" s="78">
        <f>SUM(EP32:EU32)/6</f>
        <v>6.081666666666667</v>
      </c>
      <c r="FQ33" t="s">
        <v>18</v>
      </c>
      <c r="FR33" s="4">
        <v>1.41E-3</v>
      </c>
      <c r="FW33" t="s">
        <v>7</v>
      </c>
      <c r="FX33" s="78">
        <f>SUM(FX32:GC32)/6</f>
        <v>6.04</v>
      </c>
    </row>
    <row r="34" spans="1:196" x14ac:dyDescent="0.3">
      <c r="A34" t="s">
        <v>19</v>
      </c>
      <c r="B34">
        <v>0.14000000000000001</v>
      </c>
      <c r="E34">
        <f t="shared" si="70"/>
        <v>1.5</v>
      </c>
      <c r="F34">
        <v>90</v>
      </c>
      <c r="G34" t="s">
        <v>13</v>
      </c>
      <c r="H34">
        <v>17.43</v>
      </c>
      <c r="I34">
        <v>17.43</v>
      </c>
      <c r="J34">
        <v>17.34</v>
      </c>
      <c r="K34">
        <v>17.72</v>
      </c>
      <c r="L34">
        <v>17.670000000000002</v>
      </c>
      <c r="M34">
        <v>17.53</v>
      </c>
      <c r="S34">
        <v>23.5</v>
      </c>
      <c r="T34">
        <v>19</v>
      </c>
      <c r="U34">
        <v>20</v>
      </c>
      <c r="V34">
        <f t="shared" si="71"/>
        <v>296.64999999999998</v>
      </c>
      <c r="AJ34" t="s">
        <v>19</v>
      </c>
      <c r="AK34">
        <v>0.14000000000000001</v>
      </c>
      <c r="AN34">
        <f>AO34/60</f>
        <v>1.5</v>
      </c>
      <c r="AO34">
        <v>90</v>
      </c>
      <c r="AP34" t="s">
        <v>13</v>
      </c>
      <c r="AQ34">
        <v>12.49</v>
      </c>
      <c r="AR34">
        <v>12.42</v>
      </c>
      <c r="AS34">
        <v>12.58</v>
      </c>
      <c r="AT34">
        <v>12.47</v>
      </c>
      <c r="AU34">
        <v>12.46</v>
      </c>
      <c r="AV34">
        <v>12.39</v>
      </c>
      <c r="BD34">
        <v>19.2</v>
      </c>
      <c r="BE34">
        <v>15</v>
      </c>
      <c r="BF34">
        <v>20</v>
      </c>
      <c r="BG34">
        <f>BD34+273.15</f>
        <v>292.34999999999997</v>
      </c>
      <c r="BR34" t="s">
        <v>19</v>
      </c>
      <c r="BS34">
        <v>0.14000000000000001</v>
      </c>
      <c r="BV34">
        <f>BW34/60</f>
        <v>1.5</v>
      </c>
      <c r="BW34">
        <v>90</v>
      </c>
      <c r="BX34" t="s">
        <v>13</v>
      </c>
      <c r="BY34">
        <v>11.57</v>
      </c>
      <c r="BZ34">
        <v>11.68</v>
      </c>
      <c r="CA34">
        <v>11.67</v>
      </c>
      <c r="CB34">
        <v>11.62</v>
      </c>
      <c r="CC34">
        <v>11.63</v>
      </c>
      <c r="CD34">
        <v>11.73</v>
      </c>
      <c r="CL34">
        <v>18.8</v>
      </c>
      <c r="CM34">
        <v>14</v>
      </c>
      <c r="CN34">
        <v>20</v>
      </c>
      <c r="CO34">
        <f>CL34+273.15</f>
        <v>291.95</v>
      </c>
      <c r="DA34" t="s">
        <v>19</v>
      </c>
      <c r="DB34">
        <v>0.14000000000000001</v>
      </c>
      <c r="DE34">
        <f>DF34/60</f>
        <v>1.5</v>
      </c>
      <c r="DF34">
        <v>90</v>
      </c>
      <c r="DG34" t="s">
        <v>13</v>
      </c>
      <c r="DH34">
        <v>6.72</v>
      </c>
      <c r="DI34">
        <v>6.72</v>
      </c>
      <c r="DJ34">
        <v>6.77</v>
      </c>
      <c r="DK34">
        <v>6.71</v>
      </c>
      <c r="DL34">
        <v>6.73</v>
      </c>
      <c r="DM34">
        <v>6.81</v>
      </c>
      <c r="DU34">
        <v>24.7</v>
      </c>
      <c r="DV34">
        <v>21</v>
      </c>
      <c r="DW34">
        <v>20</v>
      </c>
      <c r="DX34">
        <f>DU34+273.15</f>
        <v>297.84999999999997</v>
      </c>
      <c r="EI34" t="s">
        <v>19</v>
      </c>
      <c r="EJ34">
        <v>0.14000000000000001</v>
      </c>
      <c r="EM34">
        <f>EN34/60</f>
        <v>1.5</v>
      </c>
      <c r="EN34">
        <v>90</v>
      </c>
      <c r="EO34" t="s">
        <v>13</v>
      </c>
      <c r="EP34">
        <v>6.06</v>
      </c>
      <c r="EQ34">
        <v>6.09</v>
      </c>
      <c r="ER34">
        <v>6.09</v>
      </c>
      <c r="ES34">
        <v>6.12</v>
      </c>
      <c r="ET34">
        <v>6.05</v>
      </c>
      <c r="EU34">
        <v>6.09</v>
      </c>
      <c r="FC34">
        <v>25</v>
      </c>
      <c r="FD34">
        <v>21</v>
      </c>
      <c r="FE34">
        <v>20</v>
      </c>
      <c r="FF34">
        <f>FC34+273.15</f>
        <v>298.14999999999998</v>
      </c>
      <c r="FQ34" t="s">
        <v>19</v>
      </c>
      <c r="FR34">
        <v>0.14000000000000001</v>
      </c>
      <c r="FU34">
        <f>FV34/60</f>
        <v>1.5</v>
      </c>
      <c r="FV34">
        <v>90</v>
      </c>
      <c r="FW34" t="s">
        <v>13</v>
      </c>
      <c r="FX34">
        <v>5.97</v>
      </c>
      <c r="FY34">
        <v>6.06</v>
      </c>
      <c r="FZ34">
        <v>6.12</v>
      </c>
      <c r="GA34">
        <v>6</v>
      </c>
      <c r="GB34">
        <v>6.06</v>
      </c>
      <c r="GC34">
        <v>6.06</v>
      </c>
      <c r="GK34">
        <v>24.7</v>
      </c>
      <c r="GL34">
        <v>21</v>
      </c>
      <c r="GM34">
        <v>20</v>
      </c>
      <c r="GN34">
        <f>GK34+273.15</f>
        <v>297.84999999999997</v>
      </c>
    </row>
    <row r="35" spans="1:196" x14ac:dyDescent="0.3">
      <c r="A35" t="s">
        <v>20</v>
      </c>
      <c r="B35">
        <v>1.4445E-3</v>
      </c>
      <c r="G35" t="s">
        <v>7</v>
      </c>
      <c r="H35">
        <f>SUM(H34:M34)/6</f>
        <v>17.52</v>
      </c>
      <c r="AJ35" t="s">
        <v>20</v>
      </c>
      <c r="AK35">
        <v>1.4445E-3</v>
      </c>
      <c r="AP35" t="s">
        <v>7</v>
      </c>
      <c r="AQ35">
        <f>SUM(AQ34:AV34)/6</f>
        <v>12.468333333333334</v>
      </c>
      <c r="BR35" t="s">
        <v>20</v>
      </c>
      <c r="BS35">
        <v>1.4445E-3</v>
      </c>
      <c r="BX35" t="s">
        <v>7</v>
      </c>
      <c r="BY35">
        <f>SUM(BY34:CD34)/6</f>
        <v>11.65</v>
      </c>
      <c r="DA35" t="s">
        <v>20</v>
      </c>
      <c r="DB35">
        <v>1.4445E-3</v>
      </c>
      <c r="DG35" t="s">
        <v>7</v>
      </c>
      <c r="DH35">
        <f>SUM(DH34:DM34)/6</f>
        <v>6.743333333333335</v>
      </c>
      <c r="EI35" t="s">
        <v>20</v>
      </c>
      <c r="EJ35">
        <v>1.4445E-3</v>
      </c>
      <c r="EO35" t="s">
        <v>7</v>
      </c>
      <c r="EP35">
        <f>SUM(EP34:EU34)/6</f>
        <v>6.083333333333333</v>
      </c>
      <c r="FQ35" t="s">
        <v>20</v>
      </c>
      <c r="FR35">
        <v>1.4445E-3</v>
      </c>
      <c r="FW35" t="s">
        <v>7</v>
      </c>
      <c r="FX35">
        <f>SUM(FX34:GC34)/6</f>
        <v>6.044999999999999</v>
      </c>
    </row>
    <row r="36" spans="1:196" x14ac:dyDescent="0.3">
      <c r="A36" t="s">
        <v>21</v>
      </c>
      <c r="B36">
        <v>293.14999999999998</v>
      </c>
      <c r="E36">
        <f t="shared" si="70"/>
        <v>2</v>
      </c>
      <c r="F36">
        <f>F34+30</f>
        <v>120</v>
      </c>
      <c r="G36" t="s">
        <v>13</v>
      </c>
      <c r="H36">
        <v>17.7</v>
      </c>
      <c r="I36">
        <v>18.239999999999998</v>
      </c>
      <c r="J36">
        <v>18.489999999999998</v>
      </c>
      <c r="K36">
        <v>18.64</v>
      </c>
      <c r="L36">
        <v>18.989999999999998</v>
      </c>
      <c r="M36">
        <v>17.78</v>
      </c>
      <c r="S36">
        <v>23.8</v>
      </c>
      <c r="T36">
        <v>20</v>
      </c>
      <c r="U36">
        <v>20</v>
      </c>
      <c r="V36">
        <f t="shared" si="71"/>
        <v>296.95</v>
      </c>
      <c r="AJ36" t="s">
        <v>21</v>
      </c>
      <c r="AK36">
        <v>293.14999999999998</v>
      </c>
      <c r="AN36">
        <f>AO36/60</f>
        <v>2</v>
      </c>
      <c r="AO36">
        <f>AO34+30</f>
        <v>120</v>
      </c>
      <c r="AP36" t="s">
        <v>13</v>
      </c>
      <c r="AQ36">
        <v>12.53</v>
      </c>
      <c r="AR36">
        <v>12.53</v>
      </c>
      <c r="AS36">
        <v>12.56</v>
      </c>
      <c r="AT36">
        <v>12.62</v>
      </c>
      <c r="AU36">
        <v>12.62</v>
      </c>
      <c r="AV36">
        <v>12.42</v>
      </c>
      <c r="AW36">
        <v>12.46</v>
      </c>
      <c r="BD36">
        <v>19.399999999999999</v>
      </c>
      <c r="BE36">
        <v>15</v>
      </c>
      <c r="BF36">
        <v>20</v>
      </c>
      <c r="BG36">
        <f>BD36+273.15</f>
        <v>292.54999999999995</v>
      </c>
      <c r="BR36" t="s">
        <v>21</v>
      </c>
      <c r="BS36">
        <v>293.14999999999998</v>
      </c>
      <c r="BV36">
        <f>BW36/60</f>
        <v>2</v>
      </c>
      <c r="BW36">
        <f>BW34+30</f>
        <v>120</v>
      </c>
      <c r="BX36" t="s">
        <v>13</v>
      </c>
      <c r="BY36">
        <v>12.03</v>
      </c>
      <c r="BZ36">
        <v>11.93</v>
      </c>
      <c r="CA36">
        <v>11.91</v>
      </c>
      <c r="CB36">
        <v>12.12</v>
      </c>
      <c r="CC36">
        <v>12.12</v>
      </c>
      <c r="CD36">
        <v>12.07</v>
      </c>
      <c r="CL36">
        <v>18.899999999999999</v>
      </c>
      <c r="CM36">
        <v>14</v>
      </c>
      <c r="CN36">
        <v>20</v>
      </c>
      <c r="CO36">
        <f>CL36+273.15</f>
        <v>292.04999999999995</v>
      </c>
      <c r="DA36" t="s">
        <v>21</v>
      </c>
      <c r="DB36">
        <v>293.14999999999998</v>
      </c>
      <c r="DE36">
        <f>DF36/60</f>
        <v>2</v>
      </c>
      <c r="DF36">
        <f>DF34+30</f>
        <v>120</v>
      </c>
      <c r="DG36" t="s">
        <v>13</v>
      </c>
      <c r="DH36">
        <v>6.74</v>
      </c>
      <c r="DI36">
        <v>6.88</v>
      </c>
      <c r="DJ36">
        <v>6.81</v>
      </c>
      <c r="DK36">
        <v>6.7</v>
      </c>
      <c r="DL36">
        <v>6.72</v>
      </c>
      <c r="DM36">
        <v>6.82</v>
      </c>
      <c r="DU36">
        <v>25.8</v>
      </c>
      <c r="DV36">
        <v>22</v>
      </c>
      <c r="DW36">
        <v>20</v>
      </c>
      <c r="DX36">
        <f>DU36+273.15</f>
        <v>298.95</v>
      </c>
      <c r="EI36" t="s">
        <v>21</v>
      </c>
      <c r="EJ36">
        <v>293.14999999999998</v>
      </c>
      <c r="EM36">
        <f>EN36/60</f>
        <v>2</v>
      </c>
      <c r="EN36">
        <f>EN34+30</f>
        <v>120</v>
      </c>
      <c r="EO36" t="s">
        <v>13</v>
      </c>
      <c r="EP36">
        <v>6.1</v>
      </c>
      <c r="EQ36">
        <v>6.09</v>
      </c>
      <c r="ER36">
        <v>6.12</v>
      </c>
      <c r="ES36">
        <v>6.03</v>
      </c>
      <c r="ET36">
        <v>6.1</v>
      </c>
      <c r="EU36">
        <v>6.08</v>
      </c>
      <c r="FC36">
        <v>25.6</v>
      </c>
      <c r="FD36">
        <v>21</v>
      </c>
      <c r="FE36">
        <v>20</v>
      </c>
      <c r="FF36">
        <f>FC36+273.15</f>
        <v>298.75</v>
      </c>
      <c r="FQ36" t="s">
        <v>21</v>
      </c>
      <c r="FR36">
        <v>293.14999999999998</v>
      </c>
      <c r="FU36">
        <f>FV36/60</f>
        <v>2</v>
      </c>
      <c r="FV36">
        <f>FV34+30</f>
        <v>120</v>
      </c>
      <c r="FW36" t="s">
        <v>13</v>
      </c>
      <c r="FX36">
        <v>5.96</v>
      </c>
      <c r="FY36">
        <v>5.94</v>
      </c>
      <c r="FZ36">
        <v>6.07</v>
      </c>
      <c r="GA36">
        <v>6.12</v>
      </c>
      <c r="GB36">
        <v>6.03</v>
      </c>
      <c r="GC36">
        <v>6.16</v>
      </c>
      <c r="GK36">
        <v>25.2</v>
      </c>
      <c r="GL36">
        <v>21</v>
      </c>
      <c r="GM36">
        <v>20</v>
      </c>
      <c r="GN36">
        <f>GK36+273.15</f>
        <v>298.34999999999997</v>
      </c>
    </row>
    <row r="37" spans="1:196" x14ac:dyDescent="0.3">
      <c r="G37" t="s">
        <v>7</v>
      </c>
      <c r="H37">
        <f>SUM(H36:M36)/6</f>
        <v>18.306666666666665</v>
      </c>
      <c r="AP37" t="s">
        <v>7</v>
      </c>
      <c r="AQ37">
        <f>SUM(AQ36:AW36)/7</f>
        <v>12.534285714285712</v>
      </c>
      <c r="BX37" t="s">
        <v>7</v>
      </c>
      <c r="BY37">
        <f>SUM(BY36:CD36)/6</f>
        <v>12.030000000000001</v>
      </c>
      <c r="DG37" t="s">
        <v>7</v>
      </c>
      <c r="DH37">
        <f>SUM(DH36:DM36)/6</f>
        <v>6.7783333333333333</v>
      </c>
      <c r="EO37" t="s">
        <v>7</v>
      </c>
      <c r="EP37">
        <f>SUM(EP36:EU36)/6</f>
        <v>6.086666666666666</v>
      </c>
      <c r="FW37" t="s">
        <v>7</v>
      </c>
      <c r="FX37">
        <f>SUM(FX36:GC36)/6</f>
        <v>6.0466666666666669</v>
      </c>
    </row>
    <row r="38" spans="1:196" x14ac:dyDescent="0.3">
      <c r="E38">
        <f t="shared" si="70"/>
        <v>2.5</v>
      </c>
      <c r="F38">
        <f>F36+30</f>
        <v>150</v>
      </c>
      <c r="G38" t="s">
        <v>13</v>
      </c>
      <c r="H38">
        <v>17.57</v>
      </c>
      <c r="I38">
        <v>17.920000000000002</v>
      </c>
      <c r="J38">
        <v>17.96</v>
      </c>
      <c r="K38">
        <v>17.829999999999998</v>
      </c>
      <c r="L38">
        <v>18.12</v>
      </c>
      <c r="M38">
        <v>17.43</v>
      </c>
      <c r="S38">
        <v>23.7</v>
      </c>
      <c r="T38">
        <v>19</v>
      </c>
      <c r="U38">
        <v>20</v>
      </c>
      <c r="V38">
        <f t="shared" si="71"/>
        <v>296.84999999999997</v>
      </c>
      <c r="AN38">
        <f>AO38/60</f>
        <v>2.5</v>
      </c>
      <c r="AO38">
        <f>AO36+30</f>
        <v>150</v>
      </c>
      <c r="AP38" t="s">
        <v>13</v>
      </c>
      <c r="BV38">
        <f>BW38/60</f>
        <v>2.5</v>
      </c>
      <c r="BW38">
        <f>BW36+30</f>
        <v>150</v>
      </c>
      <c r="BX38" t="s">
        <v>13</v>
      </c>
      <c r="BY38">
        <v>13</v>
      </c>
      <c r="BZ38">
        <v>12.9</v>
      </c>
      <c r="CA38">
        <v>12.94</v>
      </c>
      <c r="CB38">
        <v>13.12</v>
      </c>
      <c r="CC38">
        <v>12.95</v>
      </c>
      <c r="CD38">
        <v>12.84</v>
      </c>
      <c r="CL38">
        <v>19.100000000000001</v>
      </c>
      <c r="CM38">
        <v>14</v>
      </c>
      <c r="CN38">
        <v>20</v>
      </c>
      <c r="CO38">
        <f>CL38+273.15</f>
        <v>292.25</v>
      </c>
      <c r="DE38">
        <f>DF38/60</f>
        <v>2.5</v>
      </c>
      <c r="DF38">
        <f>DF36+30</f>
        <v>150</v>
      </c>
      <c r="DG38" t="s">
        <v>13</v>
      </c>
      <c r="DH38">
        <v>6.79</v>
      </c>
      <c r="DI38">
        <v>6.83</v>
      </c>
      <c r="DJ38">
        <v>6.78</v>
      </c>
      <c r="DK38">
        <v>6.69</v>
      </c>
      <c r="DL38">
        <v>6.78</v>
      </c>
      <c r="DM38">
        <v>6.87</v>
      </c>
      <c r="DU38">
        <v>26.2</v>
      </c>
      <c r="DV38">
        <v>22</v>
      </c>
      <c r="DW38">
        <v>20</v>
      </c>
      <c r="DX38">
        <f>DU38+273.15</f>
        <v>299.34999999999997</v>
      </c>
      <c r="EM38">
        <f>EN38/60</f>
        <v>2.5</v>
      </c>
      <c r="EN38">
        <f>EN36+30</f>
        <v>150</v>
      </c>
      <c r="EO38" t="s">
        <v>13</v>
      </c>
      <c r="EP38">
        <v>6.1</v>
      </c>
      <c r="EQ38">
        <v>6.06</v>
      </c>
      <c r="ER38">
        <v>6.1</v>
      </c>
      <c r="ES38">
        <v>6.06</v>
      </c>
      <c r="ET38">
        <v>6.14</v>
      </c>
      <c r="EU38">
        <v>6.08</v>
      </c>
      <c r="FC38">
        <v>26.1</v>
      </c>
      <c r="FD38">
        <v>22</v>
      </c>
      <c r="FE38">
        <v>21</v>
      </c>
      <c r="FF38">
        <f>FC38+273.15</f>
        <v>299.25</v>
      </c>
      <c r="FU38">
        <f>FV38/60</f>
        <v>2.5</v>
      </c>
      <c r="FV38">
        <f>FV36+30</f>
        <v>150</v>
      </c>
      <c r="FW38" t="s">
        <v>13</v>
      </c>
      <c r="FX38">
        <v>6.01</v>
      </c>
      <c r="FY38">
        <v>6.09</v>
      </c>
      <c r="FZ38">
        <v>6</v>
      </c>
      <c r="GA38">
        <v>5.95</v>
      </c>
      <c r="GB38">
        <v>6.1</v>
      </c>
      <c r="GC38">
        <v>6.05</v>
      </c>
      <c r="GD38">
        <v>6.13</v>
      </c>
      <c r="GK38">
        <v>25.8</v>
      </c>
      <c r="GL38">
        <v>22</v>
      </c>
      <c r="GM38">
        <v>20</v>
      </c>
      <c r="GN38">
        <f>GK38+273.15</f>
        <v>298.95</v>
      </c>
    </row>
    <row r="39" spans="1:196" x14ac:dyDescent="0.3">
      <c r="G39" t="s">
        <v>7</v>
      </c>
      <c r="H39">
        <f>SUM(H38:M38)/6</f>
        <v>17.805000000000003</v>
      </c>
      <c r="AP39" t="s">
        <v>7</v>
      </c>
      <c r="AQ39">
        <f>SUM(AQ38:AV38)/6</f>
        <v>0</v>
      </c>
      <c r="BX39" t="s">
        <v>7</v>
      </c>
      <c r="BY39">
        <f>SUM(BY38:CD38)/6</f>
        <v>12.958333333333334</v>
      </c>
      <c r="DG39" t="s">
        <v>7</v>
      </c>
      <c r="DH39">
        <f>SUM(DH38:DM38)/6</f>
        <v>6.79</v>
      </c>
      <c r="EO39" t="s">
        <v>7</v>
      </c>
      <c r="EP39">
        <f>SUM(EP38:EU38)/6</f>
        <v>6.09</v>
      </c>
      <c r="FW39" t="s">
        <v>7</v>
      </c>
      <c r="FX39">
        <f>SUM(FX38:GD38)/7</f>
        <v>6.0471428571428572</v>
      </c>
    </row>
    <row r="40" spans="1:196" x14ac:dyDescent="0.3">
      <c r="E40">
        <f t="shared" si="70"/>
        <v>3</v>
      </c>
      <c r="F40">
        <f>F38+30</f>
        <v>180</v>
      </c>
      <c r="G40" t="s">
        <v>13</v>
      </c>
      <c r="H40">
        <v>18.28</v>
      </c>
      <c r="I40">
        <v>18.84</v>
      </c>
      <c r="J40">
        <v>18.87</v>
      </c>
      <c r="K40">
        <v>18.46</v>
      </c>
      <c r="L40">
        <v>18.3</v>
      </c>
      <c r="M40">
        <v>18.43</v>
      </c>
      <c r="S40">
        <v>24.1</v>
      </c>
      <c r="T40">
        <v>20</v>
      </c>
      <c r="U40">
        <v>20</v>
      </c>
      <c r="V40">
        <f>S40+273.15</f>
        <v>297.25</v>
      </c>
      <c r="AN40">
        <f>AO40/60</f>
        <v>3</v>
      </c>
      <c r="AO40">
        <f>AO38+30</f>
        <v>180</v>
      </c>
      <c r="AP40" t="s">
        <v>13</v>
      </c>
      <c r="AQ40">
        <v>12.82</v>
      </c>
      <c r="AR40">
        <v>12.74</v>
      </c>
      <c r="AS40">
        <v>12.84</v>
      </c>
      <c r="AT40">
        <v>12.9</v>
      </c>
      <c r="AU40">
        <v>12.77</v>
      </c>
      <c r="AV40">
        <v>12.83</v>
      </c>
      <c r="BD40">
        <v>19.399999999999999</v>
      </c>
      <c r="BE40">
        <v>15</v>
      </c>
      <c r="BF40">
        <v>20</v>
      </c>
      <c r="BG40">
        <f>BD40+273.15</f>
        <v>292.54999999999995</v>
      </c>
      <c r="BV40">
        <f>BW40/60</f>
        <v>3</v>
      </c>
      <c r="BW40">
        <f>BW38+30</f>
        <v>180</v>
      </c>
      <c r="BX40" t="s">
        <v>13</v>
      </c>
      <c r="BY40">
        <v>14.41</v>
      </c>
      <c r="BZ40">
        <v>17</v>
      </c>
      <c r="CA40">
        <v>15</v>
      </c>
      <c r="CB40">
        <v>13.41</v>
      </c>
      <c r="CC40">
        <v>14.41</v>
      </c>
      <c r="CL40">
        <v>19.399999999999999</v>
      </c>
      <c r="CM40">
        <v>14</v>
      </c>
      <c r="CN40">
        <v>20</v>
      </c>
      <c r="CO40">
        <f>CL40+273.15</f>
        <v>292.54999999999995</v>
      </c>
      <c r="DE40">
        <f>DF40/60</f>
        <v>3</v>
      </c>
      <c r="DF40">
        <f>DF38+30</f>
        <v>180</v>
      </c>
      <c r="DG40" t="s">
        <v>13</v>
      </c>
      <c r="DH40">
        <v>6.75</v>
      </c>
      <c r="DI40">
        <v>6.73</v>
      </c>
      <c r="DJ40">
        <v>6.81</v>
      </c>
      <c r="DK40">
        <v>6.85</v>
      </c>
      <c r="DL40">
        <v>6.78</v>
      </c>
      <c r="DM40">
        <v>6.9</v>
      </c>
      <c r="DU40">
        <v>27.1</v>
      </c>
      <c r="DV40">
        <v>23</v>
      </c>
      <c r="DW40">
        <v>21</v>
      </c>
      <c r="DX40">
        <f>DU40+273.15</f>
        <v>300.25</v>
      </c>
      <c r="EM40">
        <f>EN40/60</f>
        <v>3</v>
      </c>
      <c r="EN40">
        <f>EN38+30</f>
        <v>180</v>
      </c>
      <c r="EO40" t="s">
        <v>13</v>
      </c>
      <c r="EP40">
        <v>6.28</v>
      </c>
      <c r="EQ40">
        <v>5.96</v>
      </c>
      <c r="ER40">
        <v>6.09</v>
      </c>
      <c r="ES40">
        <v>6.11</v>
      </c>
      <c r="ET40">
        <v>6.16</v>
      </c>
      <c r="EU40">
        <v>6</v>
      </c>
      <c r="FC40">
        <v>26.2</v>
      </c>
      <c r="FD40">
        <v>22</v>
      </c>
      <c r="FE40">
        <v>21</v>
      </c>
      <c r="FF40">
        <f>FC40+273.15</f>
        <v>299.34999999999997</v>
      </c>
      <c r="FU40">
        <f>FV40/60</f>
        <v>3</v>
      </c>
      <c r="FV40">
        <f>FV38+30</f>
        <v>180</v>
      </c>
      <c r="FW40" t="s">
        <v>13</v>
      </c>
      <c r="FX40">
        <v>6.06</v>
      </c>
      <c r="FY40">
        <v>6.2</v>
      </c>
      <c r="FZ40">
        <v>6.11</v>
      </c>
      <c r="GA40">
        <v>5.97</v>
      </c>
      <c r="GB40">
        <v>6</v>
      </c>
      <c r="GC40">
        <v>6.09</v>
      </c>
      <c r="GK40">
        <v>26.5</v>
      </c>
      <c r="GL40">
        <v>23</v>
      </c>
      <c r="GM40">
        <v>20</v>
      </c>
      <c r="GN40">
        <f>GK40+273.15</f>
        <v>299.64999999999998</v>
      </c>
    </row>
    <row r="41" spans="1:196" x14ac:dyDescent="0.3">
      <c r="G41" t="s">
        <v>7</v>
      </c>
      <c r="H41">
        <f>SUM(H40:M40)/6</f>
        <v>18.53</v>
      </c>
      <c r="AP41" t="s">
        <v>7</v>
      </c>
      <c r="AQ41">
        <f>SUM(AQ40:AV40)/6</f>
        <v>12.816666666666668</v>
      </c>
      <c r="BX41" t="s">
        <v>7</v>
      </c>
      <c r="BY41">
        <f>SUM(BY40:CC40)/5</f>
        <v>14.845999999999998</v>
      </c>
      <c r="DG41" t="s">
        <v>7</v>
      </c>
      <c r="DH41">
        <f>SUM(DH40:DM40)/6</f>
        <v>6.8033333333333337</v>
      </c>
      <c r="EO41" t="s">
        <v>7</v>
      </c>
      <c r="EP41">
        <f>SUM(EP40:EU40)/6</f>
        <v>6.0999999999999988</v>
      </c>
      <c r="FW41" t="s">
        <v>7</v>
      </c>
      <c r="FX41">
        <f>SUM(FX40:GC40)/6</f>
        <v>6.0716666666666663</v>
      </c>
    </row>
    <row r="42" spans="1:196" x14ac:dyDescent="0.3">
      <c r="E42">
        <f t="shared" si="70"/>
        <v>3.5</v>
      </c>
      <c r="F42">
        <f>F40+30</f>
        <v>210</v>
      </c>
      <c r="G42" t="s">
        <v>13</v>
      </c>
      <c r="H42">
        <v>18.09</v>
      </c>
      <c r="I42">
        <v>18.46</v>
      </c>
      <c r="J42">
        <v>18.64</v>
      </c>
      <c r="K42">
        <v>18.46</v>
      </c>
      <c r="L42">
        <v>18.27</v>
      </c>
      <c r="M42">
        <v>18.27</v>
      </c>
      <c r="S42">
        <v>24.4</v>
      </c>
      <c r="T42">
        <v>20</v>
      </c>
      <c r="U42">
        <v>20</v>
      </c>
      <c r="V42">
        <f>S43+273.15</f>
        <v>273.14999999999998</v>
      </c>
      <c r="DE42">
        <f>DF42/60</f>
        <v>4</v>
      </c>
      <c r="DF42">
        <f>DF40+60</f>
        <v>240</v>
      </c>
      <c r="DG42" t="s">
        <v>13</v>
      </c>
      <c r="DH42">
        <v>6.81</v>
      </c>
      <c r="DI42">
        <v>6.74</v>
      </c>
      <c r="DJ42">
        <v>6.82</v>
      </c>
      <c r="DK42">
        <v>6.87</v>
      </c>
      <c r="DL42">
        <v>6.81</v>
      </c>
      <c r="DM42">
        <v>6.79</v>
      </c>
      <c r="DU42">
        <v>28</v>
      </c>
      <c r="DV42">
        <v>24</v>
      </c>
      <c r="DW42">
        <v>21</v>
      </c>
      <c r="DX42">
        <f>DU42+273.15</f>
        <v>301.14999999999998</v>
      </c>
      <c r="EM42">
        <f>EN42/60</f>
        <v>4</v>
      </c>
      <c r="EN42">
        <f>EN40+60</f>
        <v>240</v>
      </c>
      <c r="EO42" t="s">
        <v>13</v>
      </c>
      <c r="EP42">
        <v>6.18</v>
      </c>
      <c r="EQ42">
        <v>6.08</v>
      </c>
      <c r="ER42">
        <v>6.1</v>
      </c>
      <c r="ES42">
        <v>6.09</v>
      </c>
      <c r="ET42">
        <v>6.11</v>
      </c>
      <c r="EU42">
        <v>6.05</v>
      </c>
      <c r="FC42">
        <v>26.3</v>
      </c>
      <c r="FD42">
        <v>22</v>
      </c>
      <c r="FE42">
        <v>21</v>
      </c>
      <c r="FF42">
        <f>FC42+273.15</f>
        <v>299.45</v>
      </c>
      <c r="FU42">
        <f>FV42/60</f>
        <v>4</v>
      </c>
      <c r="FV42">
        <f>FV40+60</f>
        <v>240</v>
      </c>
      <c r="FW42" t="s">
        <v>13</v>
      </c>
      <c r="FX42">
        <v>5.93</v>
      </c>
      <c r="FY42">
        <v>6.1</v>
      </c>
      <c r="FZ42">
        <v>6.18</v>
      </c>
      <c r="GA42">
        <v>6.06</v>
      </c>
      <c r="GB42">
        <v>6.08</v>
      </c>
      <c r="GC42">
        <v>6.06</v>
      </c>
      <c r="GK42">
        <v>26.4</v>
      </c>
      <c r="GL42">
        <v>22</v>
      </c>
      <c r="GM42">
        <v>21</v>
      </c>
      <c r="GN42">
        <f>GK42+273.15</f>
        <v>299.54999999999995</v>
      </c>
    </row>
    <row r="43" spans="1:196" x14ac:dyDescent="0.3">
      <c r="G43" t="s">
        <v>7</v>
      </c>
      <c r="H43">
        <f>SUM(H42:M42)/6</f>
        <v>18.364999999999998</v>
      </c>
      <c r="DG43" t="s">
        <v>7</v>
      </c>
      <c r="DH43">
        <f>SUM(DH42:DM42)/6</f>
        <v>6.8066666666666675</v>
      </c>
      <c r="EO43" t="s">
        <v>7</v>
      </c>
      <c r="EP43">
        <f>SUM(EP42:EU42)/6</f>
        <v>6.1016666666666666</v>
      </c>
      <c r="FW43" t="s">
        <v>7</v>
      </c>
      <c r="FX43">
        <f>SUM(FX42:GC42)/6</f>
        <v>6.0683333333333342</v>
      </c>
    </row>
    <row r="44" spans="1:196" x14ac:dyDescent="0.3">
      <c r="E44">
        <f t="shared" si="70"/>
        <v>4</v>
      </c>
      <c r="F44">
        <f>F42+30</f>
        <v>240</v>
      </c>
      <c r="G44" t="s">
        <v>13</v>
      </c>
      <c r="H44">
        <v>18.37</v>
      </c>
      <c r="I44">
        <v>18.420000000000002</v>
      </c>
      <c r="J44">
        <v>18.54</v>
      </c>
      <c r="K44">
        <v>18.600000000000001</v>
      </c>
      <c r="L44">
        <v>18.46</v>
      </c>
      <c r="M44">
        <v>18.260000000000002</v>
      </c>
      <c r="S44">
        <v>24.4</v>
      </c>
      <c r="T44">
        <v>20</v>
      </c>
      <c r="U44">
        <v>20</v>
      </c>
      <c r="V44">
        <f>S45+273.15</f>
        <v>273.14999999999998</v>
      </c>
      <c r="DE44">
        <f>DF44/60</f>
        <v>6</v>
      </c>
      <c r="DF44">
        <f>DF42+120</f>
        <v>360</v>
      </c>
      <c r="DG44" t="s">
        <v>13</v>
      </c>
      <c r="DH44">
        <v>6.81</v>
      </c>
      <c r="DI44">
        <v>6.9</v>
      </c>
      <c r="DJ44">
        <v>6.93</v>
      </c>
      <c r="DK44">
        <v>6.81</v>
      </c>
      <c r="DL44">
        <v>6.79</v>
      </c>
      <c r="DM44">
        <v>6.91</v>
      </c>
      <c r="DU44">
        <v>28.5</v>
      </c>
      <c r="DV44">
        <v>24</v>
      </c>
      <c r="DW44">
        <v>22</v>
      </c>
      <c r="DX44">
        <f>DU44+273.15</f>
        <v>301.64999999999998</v>
      </c>
      <c r="EM44">
        <f>EN44/60</f>
        <v>6</v>
      </c>
      <c r="EN44">
        <f>EN42+120</f>
        <v>360</v>
      </c>
      <c r="EO44" t="s">
        <v>13</v>
      </c>
      <c r="EP44">
        <v>6.06</v>
      </c>
      <c r="EQ44">
        <v>6.21</v>
      </c>
      <c r="ER44">
        <v>5.97</v>
      </c>
      <c r="ES44">
        <v>6.12</v>
      </c>
      <c r="ET44">
        <v>6.12</v>
      </c>
      <c r="EU44">
        <v>6.05</v>
      </c>
      <c r="EV44">
        <v>6.21</v>
      </c>
      <c r="FC44">
        <v>26.9</v>
      </c>
      <c r="FD44">
        <v>23</v>
      </c>
      <c r="FE44">
        <v>21</v>
      </c>
      <c r="FF44">
        <f>FC44+273.15</f>
        <v>300.04999999999995</v>
      </c>
      <c r="FU44">
        <f>FV44/60</f>
        <v>6</v>
      </c>
      <c r="FV44">
        <f>FV42+120</f>
        <v>360</v>
      </c>
      <c r="FW44" t="s">
        <v>13</v>
      </c>
      <c r="FX44">
        <v>6.13</v>
      </c>
      <c r="FY44">
        <v>5.98</v>
      </c>
      <c r="FZ44">
        <v>6.17</v>
      </c>
      <c r="GA44">
        <v>6.03</v>
      </c>
      <c r="GB44">
        <v>6.05</v>
      </c>
      <c r="GC44">
        <v>6.15</v>
      </c>
      <c r="GD44">
        <v>6.18</v>
      </c>
      <c r="GE44">
        <v>6.08</v>
      </c>
      <c r="GK44">
        <v>27.7</v>
      </c>
      <c r="GL44">
        <v>24</v>
      </c>
      <c r="GM44">
        <v>21</v>
      </c>
      <c r="GN44">
        <f>GK44+273.15</f>
        <v>300.84999999999997</v>
      </c>
    </row>
    <row r="45" spans="1:196" x14ac:dyDescent="0.3">
      <c r="G45" t="s">
        <v>7</v>
      </c>
      <c r="H45">
        <f>SUM(H44:M44)/6</f>
        <v>18.44166666666667</v>
      </c>
      <c r="DG45" t="s">
        <v>7</v>
      </c>
      <c r="DH45">
        <f>SUM(DH44:DM44)/6</f>
        <v>6.8583333333333343</v>
      </c>
      <c r="EO45" t="s">
        <v>7</v>
      </c>
      <c r="EP45">
        <f>SUM(EP44:EV44)/7</f>
        <v>6.1057142857142859</v>
      </c>
      <c r="FW45" t="s">
        <v>7</v>
      </c>
      <c r="FX45">
        <f>SUM(FX44:GE44)/8</f>
        <v>6.0962500000000004</v>
      </c>
    </row>
    <row r="46" spans="1:196" x14ac:dyDescent="0.3">
      <c r="E46">
        <f t="shared" si="70"/>
        <v>4.5</v>
      </c>
      <c r="F46">
        <f>F44+30</f>
        <v>270</v>
      </c>
      <c r="G46" t="s">
        <v>13</v>
      </c>
      <c r="H46">
        <v>17.43</v>
      </c>
      <c r="I46">
        <v>18.309999999999999</v>
      </c>
      <c r="J46">
        <v>19.11</v>
      </c>
      <c r="K46">
        <v>18.59</v>
      </c>
      <c r="L46">
        <v>18.78</v>
      </c>
      <c r="M46">
        <v>18.809999999999999</v>
      </c>
      <c r="S46">
        <v>25</v>
      </c>
      <c r="T46">
        <v>21</v>
      </c>
      <c r="U46">
        <v>20</v>
      </c>
      <c r="V46">
        <f>S47+273.15</f>
        <v>273.14999999999998</v>
      </c>
      <c r="DE46">
        <f>DF46/60</f>
        <v>8</v>
      </c>
      <c r="DF46">
        <f>DF44+120</f>
        <v>480</v>
      </c>
      <c r="DG46" t="s">
        <v>13</v>
      </c>
      <c r="DH46">
        <v>6.9</v>
      </c>
      <c r="DI46">
        <v>6.85</v>
      </c>
      <c r="DJ46">
        <v>6.92</v>
      </c>
      <c r="DK46">
        <v>6.93</v>
      </c>
      <c r="DL46">
        <v>6.83</v>
      </c>
      <c r="DM46">
        <v>6.83</v>
      </c>
      <c r="DU46">
        <v>28.3</v>
      </c>
      <c r="DV46">
        <v>24</v>
      </c>
      <c r="DW46">
        <v>23</v>
      </c>
      <c r="DX46">
        <f>DU46+273.15</f>
        <v>301.45</v>
      </c>
      <c r="EM46">
        <f>EN46/60</f>
        <v>8</v>
      </c>
      <c r="EN46">
        <f>EN44+120</f>
        <v>480</v>
      </c>
      <c r="EO46" t="s">
        <v>13</v>
      </c>
      <c r="EP46">
        <v>6.13</v>
      </c>
      <c r="EQ46">
        <v>6.11</v>
      </c>
      <c r="ER46">
        <v>6.14</v>
      </c>
      <c r="ES46">
        <v>6.06</v>
      </c>
      <c r="ET46">
        <v>6.08</v>
      </c>
      <c r="EU46">
        <v>6.12</v>
      </c>
      <c r="FC46">
        <v>27.2</v>
      </c>
      <c r="FD46">
        <v>23</v>
      </c>
      <c r="FE46">
        <v>22</v>
      </c>
      <c r="FF46">
        <f>FC46+273.15</f>
        <v>300.34999999999997</v>
      </c>
      <c r="FU46">
        <f>FV46/60</f>
        <v>8</v>
      </c>
      <c r="FV46">
        <f>FV44+120</f>
        <v>480</v>
      </c>
      <c r="FW46" t="s">
        <v>13</v>
      </c>
      <c r="FX46">
        <v>6.05</v>
      </c>
      <c r="FY46">
        <v>6.11</v>
      </c>
      <c r="FZ46">
        <v>6.11</v>
      </c>
      <c r="GA46">
        <v>6.02</v>
      </c>
      <c r="GB46">
        <v>6.2</v>
      </c>
      <c r="GC46">
        <v>6.09</v>
      </c>
      <c r="GK46">
        <v>26.6</v>
      </c>
      <c r="GL46">
        <v>22</v>
      </c>
      <c r="GM46">
        <v>22</v>
      </c>
      <c r="GN46">
        <f>GK46+273.15</f>
        <v>299.75</v>
      </c>
    </row>
    <row r="47" spans="1:196" x14ac:dyDescent="0.3">
      <c r="G47" t="s">
        <v>7</v>
      </c>
      <c r="H47">
        <f>SUM(H46:M46)/6</f>
        <v>18.504999999999999</v>
      </c>
      <c r="DG47" t="s">
        <v>7</v>
      </c>
      <c r="DH47">
        <f>SUM(DH46:DM46)/6</f>
        <v>6.876666666666666</v>
      </c>
      <c r="EO47" t="s">
        <v>7</v>
      </c>
      <c r="EP47">
        <f>SUM(EP46:EU46)/6</f>
        <v>6.1066666666666656</v>
      </c>
      <c r="FW47" t="s">
        <v>7</v>
      </c>
      <c r="FX47">
        <f>SUM(FX46:GC46)/6</f>
        <v>6.0966666666666667</v>
      </c>
    </row>
    <row r="48" spans="1:196" x14ac:dyDescent="0.3">
      <c r="E48">
        <f t="shared" si="70"/>
        <v>5</v>
      </c>
      <c r="F48">
        <f>F46+30</f>
        <v>300</v>
      </c>
      <c r="G48" t="s">
        <v>13</v>
      </c>
      <c r="H48">
        <v>18.399999999999999</v>
      </c>
      <c r="I48">
        <v>18.559999999999999</v>
      </c>
      <c r="J48">
        <v>18.75</v>
      </c>
      <c r="K48">
        <v>18.59</v>
      </c>
      <c r="L48">
        <v>18.600000000000001</v>
      </c>
      <c r="M48">
        <v>18.7</v>
      </c>
      <c r="S48">
        <v>25.2</v>
      </c>
      <c r="T48">
        <v>21</v>
      </c>
      <c r="U48">
        <v>20</v>
      </c>
      <c r="V48">
        <f>S49+273.15</f>
        <v>273.14999999999998</v>
      </c>
      <c r="DE48">
        <f>DF48/60</f>
        <v>10</v>
      </c>
      <c r="DF48">
        <f>DF46+120</f>
        <v>600</v>
      </c>
      <c r="DG48" t="s">
        <v>13</v>
      </c>
      <c r="DH48">
        <v>6.85</v>
      </c>
      <c r="DI48">
        <v>6.91</v>
      </c>
      <c r="DJ48">
        <v>6.93</v>
      </c>
      <c r="DK48">
        <v>6.83</v>
      </c>
      <c r="DL48">
        <v>6.9</v>
      </c>
      <c r="DM48">
        <v>6.84</v>
      </c>
      <c r="DU48">
        <v>26.7</v>
      </c>
      <c r="DV48">
        <v>22</v>
      </c>
      <c r="DW48">
        <v>23</v>
      </c>
      <c r="DX48">
        <f>DU48+273.15</f>
        <v>299.84999999999997</v>
      </c>
      <c r="EM48">
        <f>EN48/60</f>
        <v>10</v>
      </c>
      <c r="EN48">
        <f>EN46+120</f>
        <v>600</v>
      </c>
      <c r="EO48" t="s">
        <v>13</v>
      </c>
      <c r="EP48">
        <v>6.13</v>
      </c>
      <c r="EQ48">
        <v>5.95</v>
      </c>
      <c r="ER48">
        <v>6.12</v>
      </c>
      <c r="ES48">
        <v>6.28</v>
      </c>
      <c r="ET48">
        <v>6.26</v>
      </c>
      <c r="EU48">
        <v>5.98</v>
      </c>
      <c r="FC48">
        <v>25.8</v>
      </c>
      <c r="FD48">
        <v>21</v>
      </c>
      <c r="FE48">
        <v>22</v>
      </c>
      <c r="FF48">
        <f>FC48+273.15</f>
        <v>298.95</v>
      </c>
      <c r="FU48">
        <f>FV48/60</f>
        <v>10</v>
      </c>
      <c r="FV48">
        <f>FV46+120</f>
        <v>600</v>
      </c>
      <c r="FW48" t="s">
        <v>13</v>
      </c>
      <c r="FX48">
        <v>6.14</v>
      </c>
      <c r="FY48">
        <v>6.06</v>
      </c>
      <c r="FZ48">
        <v>6.1</v>
      </c>
      <c r="GA48">
        <v>6.08</v>
      </c>
      <c r="GB48">
        <v>6.1</v>
      </c>
      <c r="GC48">
        <v>6.09</v>
      </c>
      <c r="GK48">
        <v>25</v>
      </c>
      <c r="GL48">
        <v>20</v>
      </c>
      <c r="GM48">
        <v>22</v>
      </c>
      <c r="GN48">
        <f>GK48+273.15</f>
        <v>298.14999999999998</v>
      </c>
    </row>
    <row r="49" spans="5:196" x14ac:dyDescent="0.3">
      <c r="G49" t="s">
        <v>7</v>
      </c>
      <c r="H49">
        <f>SUM(H48:M48)/6</f>
        <v>18.600000000000001</v>
      </c>
      <c r="DG49" t="s">
        <v>7</v>
      </c>
      <c r="DH49">
        <f>SUM(DH48:DM48)/6</f>
        <v>6.8766666666666652</v>
      </c>
      <c r="EO49" t="s">
        <v>7</v>
      </c>
      <c r="EP49">
        <f>SUM(EP48:EU48)/6</f>
        <v>6.12</v>
      </c>
      <c r="FW49" t="s">
        <v>7</v>
      </c>
      <c r="FX49">
        <f>SUM(FX48:GC48)/6</f>
        <v>6.0949999999999989</v>
      </c>
    </row>
    <row r="50" spans="5:196" x14ac:dyDescent="0.3">
      <c r="E50">
        <f t="shared" si="70"/>
        <v>5.5</v>
      </c>
      <c r="F50">
        <f>F48+30</f>
        <v>330</v>
      </c>
      <c r="G50" t="s">
        <v>13</v>
      </c>
      <c r="H50">
        <v>18.62</v>
      </c>
      <c r="I50">
        <v>18.809999999999999</v>
      </c>
      <c r="J50">
        <v>18.72</v>
      </c>
      <c r="K50">
        <v>19.07</v>
      </c>
      <c r="L50">
        <v>19.09</v>
      </c>
      <c r="M50">
        <v>18.399999999999999</v>
      </c>
      <c r="N50">
        <v>18.03</v>
      </c>
      <c r="O50">
        <v>18.68</v>
      </c>
      <c r="S50">
        <v>25</v>
      </c>
      <c r="T50">
        <v>21</v>
      </c>
      <c r="U50">
        <v>21</v>
      </c>
      <c r="V50">
        <f>S51+273.15</f>
        <v>273.14999999999998</v>
      </c>
      <c r="DE50">
        <f>DF50/60</f>
        <v>12</v>
      </c>
      <c r="DF50">
        <f>DF48+120</f>
        <v>720</v>
      </c>
      <c r="DG50" t="s">
        <v>13</v>
      </c>
      <c r="DH50">
        <v>6.85</v>
      </c>
      <c r="DI50">
        <v>6.87</v>
      </c>
      <c r="DJ50">
        <v>6.89</v>
      </c>
      <c r="DK50">
        <v>6.87</v>
      </c>
      <c r="DL50">
        <v>6.93</v>
      </c>
      <c r="DM50">
        <v>6.85</v>
      </c>
      <c r="DU50">
        <v>23.7</v>
      </c>
      <c r="DV50">
        <v>19</v>
      </c>
      <c r="DW50">
        <v>22</v>
      </c>
      <c r="DX50">
        <f>DU50+273.15</f>
        <v>296.84999999999997</v>
      </c>
      <c r="EM50">
        <f>EN50/60</f>
        <v>12</v>
      </c>
      <c r="EN50">
        <f>EN48+120</f>
        <v>720</v>
      </c>
      <c r="EO50" t="s">
        <v>13</v>
      </c>
      <c r="EP50">
        <v>6.18</v>
      </c>
      <c r="EQ50">
        <v>6.14</v>
      </c>
      <c r="ER50">
        <v>6.17</v>
      </c>
      <c r="ES50">
        <v>6.11</v>
      </c>
      <c r="ET50">
        <v>6.13</v>
      </c>
      <c r="EU50">
        <v>6.08</v>
      </c>
      <c r="FC50">
        <v>24.9</v>
      </c>
      <c r="FD50">
        <v>20</v>
      </c>
      <c r="FE50">
        <v>22</v>
      </c>
      <c r="FF50">
        <f>FC50+273.15</f>
        <v>298.04999999999995</v>
      </c>
      <c r="FU50">
        <f>FV50/60</f>
        <v>12</v>
      </c>
      <c r="FV50">
        <f>FV48+120</f>
        <v>720</v>
      </c>
      <c r="FW50" t="s">
        <v>13</v>
      </c>
      <c r="FX50">
        <v>6.09</v>
      </c>
      <c r="FY50">
        <v>6.21</v>
      </c>
      <c r="FZ50">
        <v>6.15</v>
      </c>
      <c r="GA50">
        <v>6.21</v>
      </c>
      <c r="GB50">
        <v>6.1</v>
      </c>
      <c r="GC50">
        <v>6.18</v>
      </c>
      <c r="GK50">
        <v>24.5</v>
      </c>
      <c r="GL50">
        <v>20</v>
      </c>
      <c r="GM50">
        <v>21</v>
      </c>
      <c r="GN50">
        <f>GK50+273.15</f>
        <v>297.64999999999998</v>
      </c>
    </row>
    <row r="51" spans="5:196" x14ac:dyDescent="0.3">
      <c r="G51" t="s">
        <v>7</v>
      </c>
      <c r="H51">
        <f>SUM(H50:O50)/8</f>
        <v>18.677500000000002</v>
      </c>
      <c r="DG51" t="s">
        <v>7</v>
      </c>
      <c r="DH51" s="10">
        <f>SUM(DH50:DM50)/6</f>
        <v>6.876666666666666</v>
      </c>
      <c r="EO51" t="s">
        <v>7</v>
      </c>
      <c r="EP51" s="10">
        <f>SUM(EP50:EU50)/6</f>
        <v>6.1350000000000007</v>
      </c>
      <c r="FW51" t="s">
        <v>7</v>
      </c>
      <c r="FX51" s="10">
        <f>SUM(FX50:GC50)/6</f>
        <v>6.1566666666666672</v>
      </c>
    </row>
    <row r="52" spans="5:196" x14ac:dyDescent="0.3">
      <c r="E52">
        <f t="shared" si="70"/>
        <v>6</v>
      </c>
      <c r="F52">
        <f>F50+30</f>
        <v>360</v>
      </c>
      <c r="G52" t="s">
        <v>13</v>
      </c>
      <c r="H52">
        <v>18.59</v>
      </c>
      <c r="I52">
        <v>18.3</v>
      </c>
      <c r="J52">
        <v>18.46</v>
      </c>
      <c r="K52">
        <v>18.510000000000002</v>
      </c>
      <c r="L52">
        <v>18.73</v>
      </c>
      <c r="M52">
        <v>18.43</v>
      </c>
      <c r="N52">
        <v>18.46</v>
      </c>
      <c r="O52">
        <v>18.440000000000001</v>
      </c>
      <c r="S52">
        <v>25</v>
      </c>
      <c r="T52">
        <v>21</v>
      </c>
      <c r="U52">
        <v>21</v>
      </c>
      <c r="V52">
        <f>S53+273.15</f>
        <v>273.14999999999998</v>
      </c>
    </row>
    <row r="53" spans="5:196" x14ac:dyDescent="0.3">
      <c r="G53" t="s">
        <v>7</v>
      </c>
      <c r="H53">
        <f>SUM(H52:O52)/8</f>
        <v>18.490000000000002</v>
      </c>
    </row>
    <row r="54" spans="5:196" x14ac:dyDescent="0.3">
      <c r="E54">
        <f t="shared" si="70"/>
        <v>6.5</v>
      </c>
      <c r="F54">
        <f>F52+30</f>
        <v>390</v>
      </c>
      <c r="G54" t="s">
        <v>13</v>
      </c>
      <c r="H54">
        <v>18.559999999999999</v>
      </c>
      <c r="I54">
        <v>22.9</v>
      </c>
      <c r="J54">
        <v>23.19</v>
      </c>
      <c r="K54">
        <v>24.21</v>
      </c>
      <c r="L54">
        <v>24.34</v>
      </c>
      <c r="M54">
        <v>22.76</v>
      </c>
      <c r="N54">
        <v>23.05</v>
      </c>
      <c r="O54">
        <v>23.48</v>
      </c>
      <c r="S54">
        <v>25.2</v>
      </c>
      <c r="T54">
        <v>21</v>
      </c>
      <c r="U54">
        <v>21</v>
      </c>
      <c r="V54">
        <f>S55+273.15</f>
        <v>273.14999999999998</v>
      </c>
    </row>
    <row r="55" spans="5:196" x14ac:dyDescent="0.3">
      <c r="G55" t="s">
        <v>7</v>
      </c>
      <c r="H55">
        <f>SUM(H54:O54)/8</f>
        <v>22.811249999999998</v>
      </c>
    </row>
    <row r="56" spans="5:196" x14ac:dyDescent="0.3">
      <c r="E56">
        <f t="shared" si="70"/>
        <v>7</v>
      </c>
      <c r="F56">
        <f>F54+30</f>
        <v>420</v>
      </c>
      <c r="G56" t="s">
        <v>13</v>
      </c>
      <c r="H56">
        <v>22.14</v>
      </c>
      <c r="I56">
        <v>20.65</v>
      </c>
      <c r="J56">
        <v>22.06</v>
      </c>
      <c r="K56">
        <v>22.71</v>
      </c>
      <c r="L56">
        <v>21.44</v>
      </c>
      <c r="M56">
        <v>21.18</v>
      </c>
      <c r="N56">
        <v>20.87</v>
      </c>
      <c r="O56">
        <v>21</v>
      </c>
      <c r="S56">
        <v>24.9</v>
      </c>
      <c r="T56">
        <v>21</v>
      </c>
      <c r="U56">
        <v>21</v>
      </c>
      <c r="V56">
        <f>S57+273.15</f>
        <v>273.14999999999998</v>
      </c>
    </row>
    <row r="57" spans="5:196" x14ac:dyDescent="0.3">
      <c r="G57" t="s">
        <v>7</v>
      </c>
      <c r="H57">
        <f>SUM(H56:O56)/8</f>
        <v>21.506250000000001</v>
      </c>
    </row>
    <row r="58" spans="5:196" x14ac:dyDescent="0.3">
      <c r="E58">
        <f t="shared" si="70"/>
        <v>7.5</v>
      </c>
      <c r="F58">
        <f>F56+30</f>
        <v>450</v>
      </c>
      <c r="G58" t="s">
        <v>13</v>
      </c>
      <c r="H58">
        <v>27.53</v>
      </c>
      <c r="I58">
        <v>28.21</v>
      </c>
      <c r="J58">
        <v>30.08</v>
      </c>
      <c r="K58">
        <v>26.31</v>
      </c>
      <c r="L58">
        <v>24.24</v>
      </c>
      <c r="M58">
        <v>24.51</v>
      </c>
      <c r="N58">
        <v>24.95</v>
      </c>
      <c r="O58">
        <v>21.48</v>
      </c>
      <c r="P58">
        <v>22.35</v>
      </c>
      <c r="Q58">
        <v>23.11</v>
      </c>
      <c r="S58">
        <v>25</v>
      </c>
      <c r="T58">
        <v>21</v>
      </c>
      <c r="U58">
        <v>21</v>
      </c>
      <c r="V58">
        <f>S59+273.15</f>
        <v>273.14999999999998</v>
      </c>
    </row>
    <row r="59" spans="5:196" x14ac:dyDescent="0.3">
      <c r="G59" t="s">
        <v>7</v>
      </c>
      <c r="H59">
        <f>SUM(H58:Q58)/10</f>
        <v>25.276999999999997</v>
      </c>
    </row>
    <row r="60" spans="5:196" x14ac:dyDescent="0.3">
      <c r="E60">
        <f t="shared" si="70"/>
        <v>8</v>
      </c>
      <c r="F60">
        <f>F58+30</f>
        <v>480</v>
      </c>
      <c r="G60" t="s">
        <v>13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S60">
        <v>24.2</v>
      </c>
      <c r="T60">
        <v>19</v>
      </c>
      <c r="U60">
        <v>21</v>
      </c>
      <c r="V60">
        <f>S61+273.15</f>
        <v>273.14999999999998</v>
      </c>
    </row>
    <row r="61" spans="5:196" x14ac:dyDescent="0.3">
      <c r="G61" t="s">
        <v>7</v>
      </c>
      <c r="H61">
        <f>SUM(H60:M60)/6</f>
        <v>0</v>
      </c>
    </row>
    <row r="62" spans="5:196" x14ac:dyDescent="0.3">
      <c r="E62">
        <f t="shared" si="70"/>
        <v>8.5</v>
      </c>
      <c r="F62">
        <f>F60+30</f>
        <v>510</v>
      </c>
      <c r="G62" t="s">
        <v>13</v>
      </c>
      <c r="O62" s="25" t="s">
        <v>208</v>
      </c>
    </row>
    <row r="63" spans="5:196" x14ac:dyDescent="0.3">
      <c r="G63" t="s">
        <v>7</v>
      </c>
      <c r="H63">
        <f>SUM(H62:M62)/6</f>
        <v>0</v>
      </c>
    </row>
    <row r="65" spans="1:183" x14ac:dyDescent="0.3">
      <c r="D65" s="17">
        <v>42513</v>
      </c>
      <c r="F65" s="23"/>
      <c r="AM65" s="17">
        <v>42522</v>
      </c>
      <c r="AO65" s="23"/>
      <c r="BU65" s="17">
        <v>42523</v>
      </c>
      <c r="BW65" s="23"/>
      <c r="DD65" s="17">
        <v>42529</v>
      </c>
      <c r="DF65" s="23"/>
      <c r="EL65" s="17">
        <v>42535</v>
      </c>
      <c r="EN65" s="23"/>
      <c r="FT65" s="17">
        <v>42537</v>
      </c>
      <c r="FV65" s="23"/>
    </row>
    <row r="66" spans="1:183" ht="15.6" x14ac:dyDescent="0.35">
      <c r="B66" s="5" t="s">
        <v>10</v>
      </c>
      <c r="C66" s="5">
        <v>3</v>
      </c>
      <c r="D66" s="5" t="s">
        <v>11</v>
      </c>
      <c r="E66" s="6"/>
      <c r="F66" s="6"/>
      <c r="G66" s="6" t="s">
        <v>153</v>
      </c>
      <c r="H66" s="6" t="s">
        <v>153</v>
      </c>
      <c r="I66" s="6"/>
      <c r="J66" s="6" t="s">
        <v>152</v>
      </c>
      <c r="K66" s="7" t="s">
        <v>214</v>
      </c>
      <c r="AK66" s="5" t="s">
        <v>10</v>
      </c>
      <c r="AL66" s="5">
        <v>2.2999999999999998</v>
      </c>
      <c r="AM66" s="5" t="s">
        <v>11</v>
      </c>
      <c r="AN66" s="5" t="s">
        <v>230</v>
      </c>
      <c r="AO66" s="6"/>
      <c r="AP66" s="6" t="s">
        <v>153</v>
      </c>
      <c r="AQ66" s="6" t="s">
        <v>153</v>
      </c>
      <c r="AR66" s="6"/>
      <c r="AS66" s="6" t="s">
        <v>152</v>
      </c>
      <c r="AT66" s="7" t="s">
        <v>214</v>
      </c>
      <c r="BS66" s="5" t="s">
        <v>10</v>
      </c>
      <c r="BT66" s="5">
        <v>2.2999999999999998</v>
      </c>
      <c r="BU66" s="5" t="s">
        <v>11</v>
      </c>
      <c r="BV66" s="5" t="s">
        <v>231</v>
      </c>
      <c r="BW66" s="6"/>
      <c r="BX66" s="6" t="s">
        <v>153</v>
      </c>
      <c r="BY66" s="6" t="s">
        <v>153</v>
      </c>
      <c r="BZ66" s="6"/>
      <c r="CA66" s="6" t="s">
        <v>152</v>
      </c>
      <c r="CB66" s="7" t="s">
        <v>214</v>
      </c>
      <c r="DB66" s="5" t="s">
        <v>10</v>
      </c>
      <c r="DC66" s="5">
        <v>0.6</v>
      </c>
      <c r="DD66" s="5" t="s">
        <v>11</v>
      </c>
      <c r="DE66" s="5"/>
      <c r="DF66" s="6"/>
      <c r="DG66" s="6" t="s">
        <v>153</v>
      </c>
      <c r="DH66" s="6" t="s">
        <v>153</v>
      </c>
      <c r="DI66" s="6"/>
      <c r="DJ66" s="6" t="s">
        <v>152</v>
      </c>
      <c r="DK66" s="7" t="s">
        <v>214</v>
      </c>
      <c r="EJ66" s="5" t="s">
        <v>10</v>
      </c>
      <c r="EK66" s="5">
        <v>0.06</v>
      </c>
      <c r="EL66" s="5" t="s">
        <v>11</v>
      </c>
      <c r="EM66" s="5"/>
      <c r="EN66" s="6"/>
      <c r="EO66" s="6" t="s">
        <v>153</v>
      </c>
      <c r="EP66" s="6" t="s">
        <v>153</v>
      </c>
      <c r="EQ66" s="6"/>
      <c r="ER66" s="6" t="s">
        <v>152</v>
      </c>
      <c r="ES66" s="7" t="s">
        <v>214</v>
      </c>
      <c r="FR66" s="5" t="s">
        <v>10</v>
      </c>
      <c r="FS66" s="5">
        <v>6.0000000000000001E-3</v>
      </c>
      <c r="FT66" s="5" t="s">
        <v>11</v>
      </c>
      <c r="FU66" s="5"/>
      <c r="FV66" s="6"/>
      <c r="FW66" s="6" t="s">
        <v>153</v>
      </c>
      <c r="FX66" s="6" t="s">
        <v>153</v>
      </c>
      <c r="FY66" s="6"/>
      <c r="FZ66" s="6" t="s">
        <v>152</v>
      </c>
      <c r="GA66" s="7" t="s">
        <v>214</v>
      </c>
    </row>
    <row r="67" spans="1:183" x14ac:dyDescent="0.3">
      <c r="A67" s="6" t="s">
        <v>12</v>
      </c>
      <c r="C67" s="6" t="s">
        <v>14</v>
      </c>
      <c r="D67" s="6"/>
      <c r="E67" s="6" t="s">
        <v>15</v>
      </c>
      <c r="F67" s="6" t="s">
        <v>22</v>
      </c>
      <c r="G67" s="6" t="s">
        <v>154</v>
      </c>
      <c r="H67" s="6" t="s">
        <v>156</v>
      </c>
      <c r="I67" s="6" t="s">
        <v>157</v>
      </c>
      <c r="J67" s="6" t="s">
        <v>148</v>
      </c>
      <c r="K67" s="6"/>
      <c r="N67">
        <v>0.6</v>
      </c>
      <c r="O67">
        <v>6.9999999999999999E-4</v>
      </c>
      <c r="P67">
        <f>O67*1000</f>
        <v>0.7</v>
      </c>
      <c r="AJ67" s="6" t="s">
        <v>12</v>
      </c>
      <c r="AL67" s="6" t="s">
        <v>14</v>
      </c>
      <c r="AM67" s="6"/>
      <c r="AN67" s="6" t="s">
        <v>15</v>
      </c>
      <c r="AO67" s="6" t="s">
        <v>22</v>
      </c>
      <c r="AP67" s="6" t="s">
        <v>154</v>
      </c>
      <c r="AQ67" s="6" t="s">
        <v>156</v>
      </c>
      <c r="AR67" s="6" t="s">
        <v>157</v>
      </c>
      <c r="AS67" s="6" t="s">
        <v>148</v>
      </c>
      <c r="AT67" s="6"/>
      <c r="BR67" s="6" t="s">
        <v>12</v>
      </c>
      <c r="BT67" s="6" t="s">
        <v>14</v>
      </c>
      <c r="BU67" s="6"/>
      <c r="BV67" s="6" t="s">
        <v>15</v>
      </c>
      <c r="BW67" s="6" t="s">
        <v>22</v>
      </c>
      <c r="BX67" s="6" t="s">
        <v>154</v>
      </c>
      <c r="BY67" s="6" t="s">
        <v>156</v>
      </c>
      <c r="BZ67" s="6" t="s">
        <v>157</v>
      </c>
      <c r="CA67" s="6" t="s">
        <v>148</v>
      </c>
      <c r="CB67" s="6"/>
      <c r="DA67" s="6" t="s">
        <v>12</v>
      </c>
      <c r="DC67" s="6" t="s">
        <v>14</v>
      </c>
      <c r="DD67" s="6"/>
      <c r="DE67" s="6" t="s">
        <v>15</v>
      </c>
      <c r="DF67" s="6" t="s">
        <v>22</v>
      </c>
      <c r="DG67" s="6" t="s">
        <v>154</v>
      </c>
      <c r="DH67" s="6" t="s">
        <v>156</v>
      </c>
      <c r="DI67" s="6" t="s">
        <v>157</v>
      </c>
      <c r="DJ67" s="6" t="s">
        <v>148</v>
      </c>
      <c r="DK67" s="6"/>
      <c r="EI67" s="6" t="s">
        <v>12</v>
      </c>
      <c r="EK67" s="6" t="s">
        <v>14</v>
      </c>
      <c r="EL67" s="6"/>
      <c r="EM67" s="6" t="s">
        <v>15</v>
      </c>
      <c r="EN67" s="6" t="s">
        <v>22</v>
      </c>
      <c r="EO67" s="6" t="s">
        <v>154</v>
      </c>
      <c r="EP67" s="6" t="s">
        <v>156</v>
      </c>
      <c r="EQ67" s="6" t="s">
        <v>157</v>
      </c>
      <c r="ER67" s="6" t="s">
        <v>148</v>
      </c>
      <c r="ES67" s="6"/>
      <c r="FQ67" s="6" t="s">
        <v>12</v>
      </c>
      <c r="FS67" s="6" t="s">
        <v>14</v>
      </c>
      <c r="FT67" s="6"/>
      <c r="FU67" s="6" t="s">
        <v>15</v>
      </c>
      <c r="FV67" s="6" t="s">
        <v>22</v>
      </c>
      <c r="FW67" s="6" t="s">
        <v>154</v>
      </c>
      <c r="FX67" s="6" t="s">
        <v>156</v>
      </c>
      <c r="FY67" s="6" t="s">
        <v>157</v>
      </c>
      <c r="FZ67" s="6" t="s">
        <v>148</v>
      </c>
      <c r="GA67" s="6"/>
    </row>
    <row r="68" spans="1:183" x14ac:dyDescent="0.3">
      <c r="A68" s="6" t="s">
        <v>85</v>
      </c>
      <c r="B68" s="6" t="s">
        <v>6</v>
      </c>
      <c r="C68" s="6" t="s">
        <v>13</v>
      </c>
      <c r="D68" s="6" t="s">
        <v>6</v>
      </c>
      <c r="E68" s="7" t="s">
        <v>1</v>
      </c>
      <c r="F68" s="6" t="s">
        <v>23</v>
      </c>
      <c r="G68" s="6" t="s">
        <v>155</v>
      </c>
      <c r="H68" s="6" t="s">
        <v>155</v>
      </c>
      <c r="I68" s="6" t="s">
        <v>23</v>
      </c>
      <c r="J68" s="6"/>
      <c r="K68" s="6" t="s">
        <v>76</v>
      </c>
      <c r="N68">
        <v>3</v>
      </c>
      <c r="O68">
        <v>6.0000000000000001E-3</v>
      </c>
      <c r="P68">
        <f t="shared" ref="P68:P69" si="72">O68*1000</f>
        <v>6</v>
      </c>
      <c r="AJ68" s="6" t="s">
        <v>85</v>
      </c>
      <c r="AK68" s="6" t="s">
        <v>6</v>
      </c>
      <c r="AL68" s="6" t="s">
        <v>13</v>
      </c>
      <c r="AM68" s="6" t="s">
        <v>6</v>
      </c>
      <c r="AN68" s="7" t="s">
        <v>1</v>
      </c>
      <c r="AO68" s="6" t="s">
        <v>23</v>
      </c>
      <c r="AP68" s="6" t="s">
        <v>155</v>
      </c>
      <c r="AQ68" s="6" t="s">
        <v>155</v>
      </c>
      <c r="AR68" s="6" t="s">
        <v>23</v>
      </c>
      <c r="AS68" s="6"/>
      <c r="AT68" s="6" t="s">
        <v>76</v>
      </c>
      <c r="BR68" s="6" t="s">
        <v>85</v>
      </c>
      <c r="BS68" s="6" t="s">
        <v>6</v>
      </c>
      <c r="BT68" s="6" t="s">
        <v>13</v>
      </c>
      <c r="BU68" s="6" t="s">
        <v>6</v>
      </c>
      <c r="BV68" s="7" t="s">
        <v>1</v>
      </c>
      <c r="BW68" s="6" t="s">
        <v>23</v>
      </c>
      <c r="BX68" s="6" t="s">
        <v>155</v>
      </c>
      <c r="BY68" s="6" t="s">
        <v>155</v>
      </c>
      <c r="BZ68" s="6" t="s">
        <v>23</v>
      </c>
      <c r="CA68" s="6"/>
      <c r="CB68" s="6" t="s">
        <v>76</v>
      </c>
      <c r="DA68" s="6" t="s">
        <v>85</v>
      </c>
      <c r="DB68" s="6" t="s">
        <v>6</v>
      </c>
      <c r="DC68" s="6" t="s">
        <v>13</v>
      </c>
      <c r="DD68" s="6" t="s">
        <v>6</v>
      </c>
      <c r="DE68" s="7" t="s">
        <v>1</v>
      </c>
      <c r="DF68" s="6" t="s">
        <v>23</v>
      </c>
      <c r="DG68" s="6" t="s">
        <v>155</v>
      </c>
      <c r="DH68" s="6" t="s">
        <v>155</v>
      </c>
      <c r="DI68" s="6" t="s">
        <v>23</v>
      </c>
      <c r="DJ68" s="6"/>
      <c r="DK68" s="6" t="s">
        <v>76</v>
      </c>
      <c r="EI68" s="6" t="s">
        <v>85</v>
      </c>
      <c r="EJ68" s="6" t="s">
        <v>6</v>
      </c>
      <c r="EK68" s="6" t="s">
        <v>13</v>
      </c>
      <c r="EL68" s="6" t="s">
        <v>6</v>
      </c>
      <c r="EM68" s="7" t="s">
        <v>1</v>
      </c>
      <c r="EN68" s="6" t="s">
        <v>23</v>
      </c>
      <c r="EO68" s="6" t="s">
        <v>155</v>
      </c>
      <c r="EP68" s="6" t="s">
        <v>155</v>
      </c>
      <c r="EQ68" s="6" t="s">
        <v>23</v>
      </c>
      <c r="ER68" s="6"/>
      <c r="ES68" s="6" t="s">
        <v>76</v>
      </c>
      <c r="FQ68" s="6" t="s">
        <v>85</v>
      </c>
      <c r="FR68" s="6" t="s">
        <v>6</v>
      </c>
      <c r="FS68" s="6" t="s">
        <v>13</v>
      </c>
      <c r="FT68" s="6" t="s">
        <v>6</v>
      </c>
      <c r="FU68" s="7" t="s">
        <v>1</v>
      </c>
      <c r="FV68" s="6" t="s">
        <v>23</v>
      </c>
      <c r="FW68" s="6" t="s">
        <v>155</v>
      </c>
      <c r="FX68" s="6" t="s">
        <v>155</v>
      </c>
      <c r="FY68" s="6" t="s">
        <v>23</v>
      </c>
      <c r="FZ68" s="6"/>
      <c r="GA68" s="6" t="s">
        <v>76</v>
      </c>
    </row>
    <row r="69" spans="1:183" x14ac:dyDescent="0.3">
      <c r="A69" s="66">
        <f>B69/60</f>
        <v>1.6666666666666666E-2</v>
      </c>
      <c r="B69" s="16">
        <v>1</v>
      </c>
      <c r="C69" s="9">
        <v>15.595714285714289</v>
      </c>
      <c r="D69" s="9">
        <f>C69/60</f>
        <v>0.25992857142857145</v>
      </c>
      <c r="E69" s="6">
        <f>5/D69</f>
        <v>19.236053860950808</v>
      </c>
      <c r="F69" s="6">
        <f t="shared" ref="F69:F85" si="73">($C$28-E69)*(10^-3)/60*273.15*1000/(22.4*$B$35*$B$36)</f>
        <v>14.821229727660301</v>
      </c>
      <c r="G69" s="6">
        <f t="shared" ref="G69:G85" si="74">(100000*E69/1000000)/(8.314*J69)</f>
        <v>7.8616861499722422E-4</v>
      </c>
      <c r="H69" s="6">
        <f>(100000*$C$28/1000000)/(8.314*J69)</f>
        <v>2.0482561142486518E-3</v>
      </c>
      <c r="I69" s="6">
        <f>(H69-G69)*10^(3)/60/$B$35</f>
        <v>14.561987991824479</v>
      </c>
      <c r="J69" s="6">
        <v>294.29999999999995</v>
      </c>
      <c r="K69" s="6">
        <f>I69/$I$69</f>
        <v>1</v>
      </c>
      <c r="L69">
        <f>(0.006*B69)+14.836</f>
        <v>14.842000000000001</v>
      </c>
      <c r="N69">
        <v>2.2999999999999998</v>
      </c>
      <c r="O69">
        <v>4.0000000000000001E-3</v>
      </c>
      <c r="P69">
        <f t="shared" si="72"/>
        <v>4</v>
      </c>
      <c r="AJ69" s="66">
        <f t="shared" ref="AJ69:AJ74" si="75">AK69/60</f>
        <v>1.6666666666666666E-2</v>
      </c>
      <c r="AK69" s="16">
        <v>1</v>
      </c>
      <c r="AL69" s="9">
        <v>11.790000000000001</v>
      </c>
      <c r="AM69" s="9">
        <f t="shared" ref="AM69:AM74" si="76">AL69/60</f>
        <v>0.19650000000000001</v>
      </c>
      <c r="AN69" s="6">
        <f t="shared" ref="AN69:AN74" si="77">5/AM69</f>
        <v>25.445292620865139</v>
      </c>
      <c r="AO69" s="6">
        <f t="shared" ref="AO69:AO74" si="78">($AL$28-AN69)*(10^-3)/60*273.15*1000/(22.4*$AK$35*$AK$36)</f>
        <v>11.905581012860555</v>
      </c>
      <c r="AP69" s="6">
        <f t="shared" ref="AP69:AP74" si="79">(100660*AN69/1000000)/(8.314*AS69)</f>
        <v>1.0581264268151199E-3</v>
      </c>
      <c r="AQ69" s="6">
        <f t="shared" ref="AQ69:AQ74" si="80">(100660*$AL$28/1000000)/(8.314*AS69)</f>
        <v>2.0896667625042316E-3</v>
      </c>
      <c r="AR69" s="6">
        <f t="shared" ref="AR69:AR74" si="81">(AQ69-AP69)*10^(3)/60/$AK$35</f>
        <v>11.901930722154283</v>
      </c>
      <c r="AS69" s="6">
        <v>291.14999999999998</v>
      </c>
      <c r="AT69" s="6">
        <f t="shared" ref="AT69:AT74" si="82">AR69/$AR$69</f>
        <v>1</v>
      </c>
      <c r="BR69" s="66">
        <f t="shared" ref="BR69:BR75" si="83">BS69/60</f>
        <v>1.6666666666666666E-2</v>
      </c>
      <c r="BS69" s="16">
        <v>1</v>
      </c>
      <c r="BT69" s="9">
        <v>11.05</v>
      </c>
      <c r="BU69" s="9">
        <f t="shared" ref="BU69:BU75" si="84">BT69/60</f>
        <v>0.18416666666666667</v>
      </c>
      <c r="BV69" s="6">
        <f t="shared" ref="BV69:BV75" si="85">5/BU69</f>
        <v>27.149321266968325</v>
      </c>
      <c r="BW69" s="6">
        <f>($BT$28-BV69)*(10^-3)/60*273.15*1000/(22.4*$BS$35*$BS$36)</f>
        <v>11.136311343647321</v>
      </c>
      <c r="BX69" s="6">
        <f t="shared" ref="BX69:BX75" si="86">(100660*BV69/1000000)/(8.314*CA69)</f>
        <v>1.1328784294226185E-3</v>
      </c>
      <c r="BY69" s="6">
        <f>(100660*$BT$28/1000000)/(8.314*CA69)</f>
        <v>2.1010920854514828E-3</v>
      </c>
      <c r="BZ69" s="6">
        <f>(BY69-BX69)*10^(3)/60/$BS$35</f>
        <v>11.171266367011242</v>
      </c>
      <c r="CA69" s="6">
        <v>290.14999999999998</v>
      </c>
      <c r="CB69" s="6">
        <f>BZ69/$BZ$69</f>
        <v>1</v>
      </c>
      <c r="DA69" s="66">
        <f>DB69/60</f>
        <v>1.6666666666666666E-2</v>
      </c>
      <c r="DB69" s="16">
        <v>1</v>
      </c>
      <c r="DC69" s="9">
        <v>6.669999999999999</v>
      </c>
      <c r="DD69" s="9">
        <f>DC69/60</f>
        <v>0.11116666666666665</v>
      </c>
      <c r="DE69" s="6">
        <f>5/DD69</f>
        <v>44.977511244377816</v>
      </c>
      <c r="DF69" s="6">
        <f>($DC$28-DE69)*(10^-3)/60*273.15*1000/(22.4*$DB$35*$DB$36)</f>
        <v>2.7348245442013721</v>
      </c>
      <c r="DG69" s="6">
        <f>(100660*DE69/1000000)/(8.314*DJ69)</f>
        <v>1.8569675127047983E-3</v>
      </c>
      <c r="DH69" s="6">
        <f>(100660*$DC$28/1000000)/(8.314*DJ69)</f>
        <v>2.0922252212400346E-3</v>
      </c>
      <c r="DI69" s="6">
        <f>(DH69-DG69)*10^(3)/60/$DB$35</f>
        <v>2.7144076212672936</v>
      </c>
      <c r="DJ69" s="6">
        <v>293.25</v>
      </c>
      <c r="DK69" s="6">
        <f>DI69/$DI$69</f>
        <v>1</v>
      </c>
      <c r="EI69" s="66">
        <f>EJ69/60</f>
        <v>1.6666666666666666E-2</v>
      </c>
      <c r="EJ69" s="16">
        <v>1</v>
      </c>
      <c r="EK69" s="9">
        <v>6.043333333333333</v>
      </c>
      <c r="EL69" s="9">
        <f>EK69/60</f>
        <v>0.10072222222222221</v>
      </c>
      <c r="EM69" s="6">
        <f>5/EL69</f>
        <v>49.64147821290679</v>
      </c>
      <c r="EN69" s="6">
        <f>($EK$28-EM69)*(10^-3)/60*273.15*1000/(22.4*$EJ$35*$EJ$36)</f>
        <v>0.47993886360046217</v>
      </c>
      <c r="EO69" s="6">
        <f>(100000*EM69/1000000)/(8.314*ER69)</f>
        <v>2.0243531820570001E-3</v>
      </c>
      <c r="EP69" s="6">
        <f>(100000*$EK$28/1000000)/(8.314*ER69)</f>
        <v>2.0651318473268853E-3</v>
      </c>
      <c r="EQ69" s="6">
        <f>(EP69-EO69)*10^(3)/60/$EJ$35</f>
        <v>0.47050496446158047</v>
      </c>
      <c r="ER69" s="6">
        <v>294.95</v>
      </c>
      <c r="ES69" s="6">
        <f>EQ69/$EQ$69</f>
        <v>1</v>
      </c>
      <c r="FQ69" s="66">
        <f>FR69/60</f>
        <v>1.6666666666666666E-2</v>
      </c>
      <c r="FR69" s="16">
        <v>1</v>
      </c>
      <c r="FS69" s="9">
        <v>5.9850000000000003</v>
      </c>
      <c r="FT69" s="9">
        <f>FS69/60</f>
        <v>9.9750000000000005E-2</v>
      </c>
      <c r="FU69" s="6">
        <f>5/FT69</f>
        <v>50.125313283208015</v>
      </c>
      <c r="FV69" s="6">
        <f>($FS$28-FU69)*(10^-3)/60*273.15*1000/(22.4*$FR$35*$FR$36)</f>
        <v>0.23678701539972574</v>
      </c>
      <c r="FW69" s="6">
        <f>(100000*FU69/1000000)/(8.314*FZ69)</f>
        <v>2.044083719893812E-3</v>
      </c>
      <c r="FX69" s="6">
        <f>(100000*$FS$28/1000000)/(8.314*FZ69)</f>
        <v>2.0642026541447356E-3</v>
      </c>
      <c r="FY69" s="6">
        <f>(FX69-FW69)*10^(3)/60/$FR$35</f>
        <v>0.232132620871392</v>
      </c>
      <c r="FZ69" s="6">
        <v>294.95</v>
      </c>
      <c r="GA69" s="6">
        <f>FY69/$FY$69</f>
        <v>1</v>
      </c>
    </row>
    <row r="70" spans="1:183" x14ac:dyDescent="0.3">
      <c r="A70" s="6">
        <f t="shared" ref="A70:A85" si="87">B70/60</f>
        <v>0.5</v>
      </c>
      <c r="B70" s="16">
        <v>30</v>
      </c>
      <c r="C70" s="9">
        <v>16.95</v>
      </c>
      <c r="D70" s="9">
        <f t="shared" ref="D70:D85" si="88">C70/60</f>
        <v>0.28249999999999997</v>
      </c>
      <c r="E70" s="6">
        <f t="shared" ref="E70:E84" si="89">5/D70</f>
        <v>17.69911504424779</v>
      </c>
      <c r="F70" s="6">
        <f t="shared" si="73"/>
        <v>15.558880957198067</v>
      </c>
      <c r="G70" s="6">
        <f t="shared" si="74"/>
        <v>7.1932174258055844E-4</v>
      </c>
      <c r="H70" s="6">
        <f t="shared" ref="H70:H85" si="90">(100000*$C$28/1000000)/(8.314*J70)</f>
        <v>2.0368365413866467E-3</v>
      </c>
      <c r="I70" s="6">
        <f t="shared" ref="I70:I85" si="91">(H70-G70)*10^(3)/60/$B$35</f>
        <v>15.201509158948751</v>
      </c>
      <c r="J70" s="6">
        <v>295.95</v>
      </c>
      <c r="K70" s="6">
        <f t="shared" ref="K70:K85" si="92">I70/$I$69</f>
        <v>1.04391716072581</v>
      </c>
      <c r="L70">
        <f t="shared" ref="L70:L85" si="93">(0.006*B70)+14.836</f>
        <v>15.016</v>
      </c>
      <c r="AJ70" s="6">
        <f t="shared" si="75"/>
        <v>0.5</v>
      </c>
      <c r="AK70" s="16">
        <v>30</v>
      </c>
      <c r="AL70" s="9">
        <v>12.401666666666669</v>
      </c>
      <c r="AM70" s="9">
        <f t="shared" si="76"/>
        <v>0.20669444444444449</v>
      </c>
      <c r="AN70" s="6">
        <f t="shared" si="77"/>
        <v>24.190297003090979</v>
      </c>
      <c r="AO70" s="6">
        <f t="shared" si="78"/>
        <v>12.507914072872335</v>
      </c>
      <c r="AP70" s="6">
        <f t="shared" si="79"/>
        <v>1.0035254913198744E-3</v>
      </c>
      <c r="AQ70" s="6">
        <f t="shared" si="80"/>
        <v>2.0846547127055235E-3</v>
      </c>
      <c r="AR70" s="6">
        <f t="shared" si="81"/>
        <v>12.474088166443396</v>
      </c>
      <c r="AS70" s="6">
        <v>291.84999999999997</v>
      </c>
      <c r="AT70" s="6">
        <f t="shared" si="82"/>
        <v>1.0480726579280197</v>
      </c>
      <c r="BR70" s="6">
        <f t="shared" si="83"/>
        <v>0.5</v>
      </c>
      <c r="BS70" s="16">
        <v>30</v>
      </c>
      <c r="BT70" s="9">
        <v>11.37</v>
      </c>
      <c r="BU70" s="9">
        <f t="shared" si="84"/>
        <v>0.18949999999999997</v>
      </c>
      <c r="BV70" s="6">
        <f t="shared" si="85"/>
        <v>26.385224274406337</v>
      </c>
      <c r="BW70" s="6">
        <f t="shared" ref="BW70:BW75" si="94">($BT$28-BV70)*(10^-3)/60*273.15*1000/(22.4*$BS$35*$BS$36)</f>
        <v>11.503038424728238</v>
      </c>
      <c r="BX70" s="6">
        <f t="shared" si="86"/>
        <v>1.0968361656740085E-3</v>
      </c>
      <c r="BY70" s="6">
        <f t="shared" ref="BY70:BY75" si="95">(100660*$BT$28/1000000)/(8.314*CA70)</f>
        <v>2.0931566303647995E-3</v>
      </c>
      <c r="BZ70" s="6">
        <f t="shared" ref="BZ70:BZ75" si="96">(BY70-BX70)*10^(3)/60/$BS$35</f>
        <v>11.495563224769713</v>
      </c>
      <c r="CA70" s="6">
        <v>291.25</v>
      </c>
      <c r="CB70" s="6">
        <f t="shared" ref="CB70:CB75" si="97">BZ70/$BZ$69</f>
        <v>1.0290295519867041</v>
      </c>
      <c r="DA70" s="6">
        <f t="shared" ref="DA70:DA80" si="98">DB70/60</f>
        <v>0.5</v>
      </c>
      <c r="DB70" s="16">
        <v>30</v>
      </c>
      <c r="DC70" s="9">
        <v>6.7383333333333333</v>
      </c>
      <c r="DD70" s="9">
        <f t="shared" ref="DD70:DD80" si="99">DC70/60</f>
        <v>0.11230555555555556</v>
      </c>
      <c r="DE70" s="6">
        <f t="shared" ref="DE70:DE75" si="100">5/DD70</f>
        <v>44.521395003710111</v>
      </c>
      <c r="DF70" s="6">
        <f t="shared" ref="DF70:DF80" si="101">($DC$28-DE70)*(10^-3)/60*273.15*1000/(22.4*$DB$35*$DB$36)</f>
        <v>2.953736775504388</v>
      </c>
      <c r="DG70" s="6">
        <f t="shared" ref="DG70:DG75" si="102">(100660*DE70/1000000)/(8.314*DJ70)</f>
        <v>1.8263032085321066E-3</v>
      </c>
      <c r="DH70" s="6">
        <f t="shared" ref="DH70:DH80" si="103">(100660*$DC$28/1000000)/(8.314*DJ70)</f>
        <v>2.078756720747553E-3</v>
      </c>
      <c r="DI70" s="6">
        <f t="shared" ref="DI70:DI80" si="104">(DH70-DG70)*10^(3)/60/$DB$35</f>
        <v>2.9128131096740093</v>
      </c>
      <c r="DJ70" s="6">
        <v>295.14999999999998</v>
      </c>
      <c r="DK70" s="6">
        <f t="shared" ref="DK70:DK80" si="105">DI70/$DI$69</f>
        <v>1.0730934760321977</v>
      </c>
      <c r="EI70" s="6">
        <f t="shared" ref="EI70:EI80" si="106">EJ70/60</f>
        <v>0.5</v>
      </c>
      <c r="EJ70" s="16">
        <v>30</v>
      </c>
      <c r="EK70" s="9">
        <v>6.0766666666666671</v>
      </c>
      <c r="EL70" s="9">
        <f t="shared" ref="EL70:EL80" si="107">EK70/60</f>
        <v>0.10127777777777779</v>
      </c>
      <c r="EM70" s="6">
        <f t="shared" ref="EM70:EM80" si="108">5/EL70</f>
        <v>49.369171695008227</v>
      </c>
      <c r="EN70" s="6">
        <f t="shared" ref="EN70:EN80" si="109">($EK$28-EM70)*(10^-3)/60*273.15*1000/(22.4*$EJ$35*$EJ$36)</f>
        <v>0.61063192408930789</v>
      </c>
      <c r="EO70" s="6">
        <f t="shared" ref="EO70:EO80" si="110">(100000*EM70/1000000)/(8.314*ER70)</f>
        <v>1.9990159710170713E-3</v>
      </c>
      <c r="EP70" s="6">
        <f t="shared" ref="EP70:EP80" si="111">(100000*$EK$28/1000000)/(8.314*ER70)</f>
        <v>2.0505323627977271E-3</v>
      </c>
      <c r="EQ70" s="6">
        <f t="shared" ref="EQ70:EQ80" si="112">(EP70-EO70)*10^(3)/60/$EJ$35</f>
        <v>0.59439704373665414</v>
      </c>
      <c r="ER70" s="6">
        <v>297.04999999999995</v>
      </c>
      <c r="ES70" s="6">
        <f t="shared" ref="ES70:ES80" si="113">EQ70/$EQ$69</f>
        <v>1.2633172625858451</v>
      </c>
      <c r="FQ70" s="6">
        <f t="shared" ref="FQ70:FQ80" si="114">FR70/60</f>
        <v>0.5</v>
      </c>
      <c r="FR70" s="16">
        <v>30</v>
      </c>
      <c r="FS70" s="9">
        <v>6.0166666666666666</v>
      </c>
      <c r="FT70" s="9">
        <f t="shared" ref="FT70:FT80" si="115">FS70/60</f>
        <v>0.10027777777777777</v>
      </c>
      <c r="FU70" s="6">
        <f t="shared" ref="FU70:FU80" si="116">5/FT70</f>
        <v>49.86149584487535</v>
      </c>
      <c r="FV70" s="6">
        <f t="shared" ref="FV70:FV80" si="117">($FS$28-FU70)*(10^-3)/60*273.15*1000/(22.4*$FR$35*$FR$36)</f>
        <v>0.36340575626610178</v>
      </c>
      <c r="FW70" s="6">
        <f t="shared" ref="FW70:FW80" si="118">(100000*FU70/1000000)/(8.314*FZ70)</f>
        <v>2.020991818587798E-3</v>
      </c>
      <c r="FX70" s="6">
        <f t="shared" ref="FX70:FX80" si="119">(100000*$FS$28/1000000)/(8.314*FZ70)</f>
        <v>2.0516817955854752E-3</v>
      </c>
      <c r="FY70" s="6">
        <f t="shared" ref="FY70:FY80" si="120">(FX70-FW70)*10^(3)/60/$FR$35</f>
        <v>0.35410149991550915</v>
      </c>
      <c r="FZ70" s="6">
        <v>296.75</v>
      </c>
      <c r="GA70" s="6">
        <f t="shared" ref="GA70:GA80" si="121">FY70/$FY$69</f>
        <v>1.5254275706114193</v>
      </c>
    </row>
    <row r="71" spans="1:183" x14ac:dyDescent="0.3">
      <c r="A71" s="6">
        <f t="shared" si="87"/>
        <v>1</v>
      </c>
      <c r="B71" s="16">
        <f>B70+30</f>
        <v>60</v>
      </c>
      <c r="C71" s="9">
        <v>17.146666666666665</v>
      </c>
      <c r="D71" s="9">
        <f t="shared" si="88"/>
        <v>0.28577777777777774</v>
      </c>
      <c r="E71" s="6">
        <f t="shared" si="89"/>
        <v>17.496111975116644</v>
      </c>
      <c r="F71" s="6">
        <f t="shared" si="73"/>
        <v>15.65631194268502</v>
      </c>
      <c r="G71" s="6">
        <f t="shared" si="74"/>
        <v>7.102314145780741E-4</v>
      </c>
      <c r="H71" s="6">
        <f t="shared" si="90"/>
        <v>2.0344305582969224E-3</v>
      </c>
      <c r="I71" s="6">
        <f t="shared" si="91"/>
        <v>15.278633249323276</v>
      </c>
      <c r="J71" s="6">
        <v>296.29999999999995</v>
      </c>
      <c r="K71" s="6">
        <f t="shared" si="92"/>
        <v>1.0492134218144626</v>
      </c>
      <c r="L71">
        <f t="shared" si="93"/>
        <v>15.196</v>
      </c>
      <c r="AJ71" s="6">
        <f t="shared" si="75"/>
        <v>1</v>
      </c>
      <c r="AK71" s="16">
        <f>AK70+30</f>
        <v>60</v>
      </c>
      <c r="AL71" s="9">
        <v>12.451666666666666</v>
      </c>
      <c r="AM71" s="9">
        <f t="shared" si="76"/>
        <v>0.20752777777777778</v>
      </c>
      <c r="AN71" s="6">
        <f t="shared" si="77"/>
        <v>24.093160219515457</v>
      </c>
      <c r="AO71" s="6">
        <f t="shared" si="78"/>
        <v>12.554534710635611</v>
      </c>
      <c r="AP71" s="6">
        <f t="shared" si="79"/>
        <v>9.9812780680630267E-4</v>
      </c>
      <c r="AQ71" s="6">
        <f t="shared" si="80"/>
        <v>2.0818014641680307E-3</v>
      </c>
      <c r="AR71" s="6">
        <f t="shared" si="81"/>
        <v>12.503445913946326</v>
      </c>
      <c r="AS71" s="6">
        <v>292.25</v>
      </c>
      <c r="AT71" s="6">
        <f t="shared" si="82"/>
        <v>1.0505392953323431</v>
      </c>
      <c r="BR71" s="6">
        <f t="shared" si="83"/>
        <v>1</v>
      </c>
      <c r="BS71" s="16">
        <f>BS70+30</f>
        <v>60</v>
      </c>
      <c r="BT71" s="9">
        <v>11.368571428571428</v>
      </c>
      <c r="BU71" s="9">
        <f t="shared" si="84"/>
        <v>0.18947619047619046</v>
      </c>
      <c r="BV71" s="6">
        <f t="shared" si="85"/>
        <v>26.38853983412918</v>
      </c>
      <c r="BW71" s="6">
        <f t="shared" si="94"/>
        <v>11.501447127352193</v>
      </c>
      <c r="BX71" s="6">
        <f t="shared" si="86"/>
        <v>1.0958452261773924E-3</v>
      </c>
      <c r="BY71" s="6">
        <f t="shared" si="95"/>
        <v>2.091002807730228E-3</v>
      </c>
      <c r="BZ71" s="6">
        <f t="shared" si="96"/>
        <v>11.482145858461239</v>
      </c>
      <c r="CA71" s="6">
        <v>291.54999999999995</v>
      </c>
      <c r="CB71" s="6">
        <f t="shared" si="97"/>
        <v>1.0278284915278741</v>
      </c>
      <c r="DA71" s="6">
        <f t="shared" si="98"/>
        <v>1</v>
      </c>
      <c r="DB71" s="16">
        <f>DB70+30</f>
        <v>60</v>
      </c>
      <c r="DC71" s="9">
        <v>6.7400000000000011</v>
      </c>
      <c r="DD71" s="9">
        <f t="shared" si="99"/>
        <v>0.11233333333333335</v>
      </c>
      <c r="DE71" s="6">
        <f t="shared" si="100"/>
        <v>44.510385756676548</v>
      </c>
      <c r="DF71" s="6">
        <f t="shared" si="101"/>
        <v>2.9590206453125645</v>
      </c>
      <c r="DG71" s="6">
        <f t="shared" si="102"/>
        <v>1.8190720670505692E-3</v>
      </c>
      <c r="DH71" s="6">
        <f t="shared" si="103"/>
        <v>2.0710381303920343E-3</v>
      </c>
      <c r="DI71" s="6">
        <f t="shared" si="104"/>
        <v>2.9071889159047539</v>
      </c>
      <c r="DJ71" s="6">
        <v>296.25</v>
      </c>
      <c r="DK71" s="6">
        <f t="shared" si="105"/>
        <v>1.0710214977024914</v>
      </c>
      <c r="EI71" s="6">
        <f t="shared" si="106"/>
        <v>1</v>
      </c>
      <c r="EJ71" s="16">
        <f>EJ70+30</f>
        <v>60</v>
      </c>
      <c r="EK71" s="9">
        <v>6.081666666666667</v>
      </c>
      <c r="EL71" s="9">
        <f t="shared" si="107"/>
        <v>0.10136111111111111</v>
      </c>
      <c r="EM71" s="6">
        <f t="shared" si="108"/>
        <v>49.328583173472182</v>
      </c>
      <c r="EN71" s="6">
        <f t="shared" si="109"/>
        <v>0.63011231751213115</v>
      </c>
      <c r="EO71" s="6">
        <f t="shared" si="110"/>
        <v>1.9933462097096884E-3</v>
      </c>
      <c r="EP71" s="6">
        <f t="shared" si="111"/>
        <v>2.0463989194324369E-3</v>
      </c>
      <c r="EQ71" s="6">
        <f t="shared" si="112"/>
        <v>0.61212310745065768</v>
      </c>
      <c r="ER71" s="6">
        <v>297.64999999999998</v>
      </c>
      <c r="ES71" s="6">
        <f t="shared" si="113"/>
        <v>1.300991814509624</v>
      </c>
      <c r="FQ71" s="6">
        <f t="shared" si="114"/>
        <v>1</v>
      </c>
      <c r="FR71" s="16">
        <f>FR70+30</f>
        <v>60</v>
      </c>
      <c r="FS71" s="9">
        <v>6.04</v>
      </c>
      <c r="FT71" s="9">
        <f t="shared" si="115"/>
        <v>0.10066666666666667</v>
      </c>
      <c r="FU71" s="6">
        <f t="shared" si="116"/>
        <v>49.668874172185433</v>
      </c>
      <c r="FV71" s="6">
        <f t="shared" si="117"/>
        <v>0.45585420779271429</v>
      </c>
      <c r="FW71" s="6">
        <f t="shared" si="118"/>
        <v>2.0104744641970358E-3</v>
      </c>
      <c r="FX71" s="6">
        <f t="shared" si="119"/>
        <v>2.0489199826349987E-3</v>
      </c>
      <c r="FY71" s="6">
        <f t="shared" si="120"/>
        <v>0.44358507485823151</v>
      </c>
      <c r="FZ71" s="6">
        <v>297.14999999999998</v>
      </c>
      <c r="GA71" s="6">
        <f t="shared" si="121"/>
        <v>1.9109122758924526</v>
      </c>
    </row>
    <row r="72" spans="1:183" x14ac:dyDescent="0.3">
      <c r="A72" s="6">
        <f t="shared" si="87"/>
        <v>1.5</v>
      </c>
      <c r="B72" s="16">
        <f t="shared" ref="B72:B85" si="122">B71+30</f>
        <v>90</v>
      </c>
      <c r="C72" s="9">
        <v>17.52</v>
      </c>
      <c r="D72" s="9">
        <f t="shared" si="88"/>
        <v>0.29199999999999998</v>
      </c>
      <c r="E72" s="6">
        <f t="shared" si="89"/>
        <v>17.123287671232877</v>
      </c>
      <c r="F72" s="6">
        <f t="shared" si="73"/>
        <v>15.835248347421926</v>
      </c>
      <c r="G72" s="6">
        <f t="shared" si="74"/>
        <v>6.9427700295967469E-4</v>
      </c>
      <c r="H72" s="6">
        <f t="shared" si="90"/>
        <v>2.0320302525649019E-3</v>
      </c>
      <c r="I72" s="6">
        <f t="shared" si="91"/>
        <v>15.435020763877086</v>
      </c>
      <c r="J72" s="6">
        <v>296.64999999999998</v>
      </c>
      <c r="K72" s="6">
        <f t="shared" si="92"/>
        <v>1.0599528561994938</v>
      </c>
      <c r="L72">
        <f t="shared" si="93"/>
        <v>15.376000000000001</v>
      </c>
      <c r="AJ72" s="6">
        <f t="shared" si="75"/>
        <v>1.5</v>
      </c>
      <c r="AK72" s="16">
        <f>AK71+30</f>
        <v>90</v>
      </c>
      <c r="AL72" s="9">
        <v>12.468333333333334</v>
      </c>
      <c r="AM72" s="9">
        <f t="shared" si="76"/>
        <v>0.20780555555555555</v>
      </c>
      <c r="AN72" s="6">
        <f t="shared" si="77"/>
        <v>24.060954417858575</v>
      </c>
      <c r="AO72" s="6">
        <f t="shared" si="78"/>
        <v>12.569991831590764</v>
      </c>
      <c r="AP72" s="6">
        <f t="shared" si="79"/>
        <v>9.9645263072993041E-4</v>
      </c>
      <c r="AQ72" s="6">
        <f t="shared" si="80"/>
        <v>2.0810893719962614E-3</v>
      </c>
      <c r="AR72" s="6">
        <f t="shared" si="81"/>
        <v>12.514557993150236</v>
      </c>
      <c r="AS72" s="6">
        <v>292.34999999999997</v>
      </c>
      <c r="AT72" s="6">
        <f t="shared" si="82"/>
        <v>1.0514729320223319</v>
      </c>
      <c r="BR72" s="6">
        <f t="shared" si="83"/>
        <v>1.5</v>
      </c>
      <c r="BS72" s="16">
        <f>BS71+30</f>
        <v>90</v>
      </c>
      <c r="BT72" s="9">
        <v>11.65</v>
      </c>
      <c r="BU72" s="9">
        <f t="shared" si="84"/>
        <v>0.19416666666666668</v>
      </c>
      <c r="BV72" s="6">
        <f t="shared" si="85"/>
        <v>25.751072961373389</v>
      </c>
      <c r="BW72" s="6">
        <f t="shared" si="94"/>
        <v>11.807398292985852</v>
      </c>
      <c r="BX72" s="6">
        <f t="shared" si="86"/>
        <v>1.0679077927481994E-3</v>
      </c>
      <c r="BY72" s="6">
        <f t="shared" si="95"/>
        <v>2.0881379297610814E-3</v>
      </c>
      <c r="BZ72" s="6">
        <f t="shared" si="96"/>
        <v>11.771433448862142</v>
      </c>
      <c r="CA72" s="6">
        <v>291.95</v>
      </c>
      <c r="CB72" s="6">
        <f t="shared" si="97"/>
        <v>1.053724176125922</v>
      </c>
      <c r="DA72" s="6">
        <f t="shared" si="98"/>
        <v>1.5</v>
      </c>
      <c r="DB72" s="16">
        <f>DB71+30</f>
        <v>90</v>
      </c>
      <c r="DC72" s="9">
        <v>6.743333333333335</v>
      </c>
      <c r="DD72" s="9">
        <f t="shared" si="99"/>
        <v>0.11238888888888891</v>
      </c>
      <c r="DE72" s="6">
        <f t="shared" si="100"/>
        <v>44.488383588729597</v>
      </c>
      <c r="DF72" s="6">
        <f t="shared" si="101"/>
        <v>2.9695805492346876</v>
      </c>
      <c r="DG72" s="6">
        <f t="shared" si="102"/>
        <v>1.8084059535328025E-3</v>
      </c>
      <c r="DH72" s="6">
        <f t="shared" si="103"/>
        <v>2.0599128626108453E-3</v>
      </c>
      <c r="DI72" s="6">
        <f t="shared" si="104"/>
        <v>2.9018911858548835</v>
      </c>
      <c r="DJ72" s="6">
        <v>297.84999999999997</v>
      </c>
      <c r="DK72" s="6">
        <f t="shared" si="105"/>
        <v>1.0690697900781969</v>
      </c>
      <c r="EI72" s="6">
        <f t="shared" si="106"/>
        <v>1.5</v>
      </c>
      <c r="EJ72" s="16">
        <f>EJ71+30</f>
        <v>90</v>
      </c>
      <c r="EK72" s="9">
        <v>6.083333333333333</v>
      </c>
      <c r="EL72" s="9">
        <f t="shared" si="107"/>
        <v>0.10138888888888889</v>
      </c>
      <c r="EM72" s="6">
        <f t="shared" si="108"/>
        <v>49.315068493150683</v>
      </c>
      <c r="EN72" s="6">
        <f t="shared" si="109"/>
        <v>0.63659866586095426</v>
      </c>
      <c r="EO72" s="6">
        <f t="shared" si="110"/>
        <v>1.9894581453382657E-3</v>
      </c>
      <c r="EP72" s="6">
        <f t="shared" si="111"/>
        <v>2.0429670916285924E-3</v>
      </c>
      <c r="EQ72" s="6">
        <f t="shared" si="112"/>
        <v>0.61738717307403668</v>
      </c>
      <c r="ER72" s="6">
        <v>298.14999999999998</v>
      </c>
      <c r="ES72" s="6">
        <f t="shared" si="113"/>
        <v>1.3121799337028037</v>
      </c>
      <c r="FQ72" s="6">
        <f t="shared" si="114"/>
        <v>1.5</v>
      </c>
      <c r="FR72" s="16">
        <f>FR71+30</f>
        <v>90</v>
      </c>
      <c r="FS72" s="9">
        <v>6.044999999999999</v>
      </c>
      <c r="FT72" s="9">
        <f t="shared" si="115"/>
        <v>0.10074999999999998</v>
      </c>
      <c r="FU72" s="6">
        <f t="shared" si="116"/>
        <v>49.627791563275444</v>
      </c>
      <c r="FV72" s="6">
        <f t="shared" si="117"/>
        <v>0.47557173762912008</v>
      </c>
      <c r="FW72" s="6">
        <f t="shared" si="118"/>
        <v>2.0040904795358421E-3</v>
      </c>
      <c r="FX72" s="6">
        <f t="shared" si="119"/>
        <v>2.0441046595265733E-3</v>
      </c>
      <c r="FY72" s="6">
        <f t="shared" si="120"/>
        <v>0.46168431972690888</v>
      </c>
      <c r="FZ72" s="6">
        <v>297.84999999999997</v>
      </c>
      <c r="GA72" s="6">
        <f t="shared" si="121"/>
        <v>1.9888816918269103</v>
      </c>
    </row>
    <row r="73" spans="1:183" x14ac:dyDescent="0.3">
      <c r="A73" s="6">
        <f t="shared" si="87"/>
        <v>2</v>
      </c>
      <c r="B73" s="16">
        <f t="shared" si="122"/>
        <v>120</v>
      </c>
      <c r="C73" s="9">
        <v>18.306666666666665</v>
      </c>
      <c r="D73" s="9">
        <f t="shared" si="88"/>
        <v>0.30511111111111106</v>
      </c>
      <c r="E73" s="6">
        <f t="shared" si="89"/>
        <v>16.387472687545525</v>
      </c>
      <c r="F73" s="6">
        <f t="shared" si="73"/>
        <v>16.188401525369255</v>
      </c>
      <c r="G73" s="6">
        <f t="shared" si="74"/>
        <v>6.6377154537353503E-4</v>
      </c>
      <c r="H73" s="6">
        <f t="shared" si="90"/>
        <v>2.0299773511479307E-3</v>
      </c>
      <c r="I73" s="6">
        <f t="shared" si="91"/>
        <v>15.763306862517545</v>
      </c>
      <c r="J73" s="6">
        <v>296.95</v>
      </c>
      <c r="K73" s="6">
        <f t="shared" si="92"/>
        <v>1.0824969002424341</v>
      </c>
      <c r="L73">
        <f t="shared" si="93"/>
        <v>15.556000000000001</v>
      </c>
      <c r="AJ73" s="6">
        <f t="shared" si="75"/>
        <v>2</v>
      </c>
      <c r="AK73" s="16">
        <f>AK72+30</f>
        <v>120</v>
      </c>
      <c r="AL73" s="9">
        <v>12.534285714285712</v>
      </c>
      <c r="AM73" s="9">
        <f t="shared" si="76"/>
        <v>0.20890476190476187</v>
      </c>
      <c r="AN73" s="6">
        <f t="shared" si="77"/>
        <v>23.934351493047643</v>
      </c>
      <c r="AO73" s="6">
        <f t="shared" si="78"/>
        <v>12.630754694845265</v>
      </c>
      <c r="AP73" s="6">
        <f t="shared" si="79"/>
        <v>9.9053190362783728E-4</v>
      </c>
      <c r="AQ73" s="6">
        <f t="shared" si="80"/>
        <v>2.0796666481049633E-3</v>
      </c>
      <c r="AR73" s="6">
        <f t="shared" si="81"/>
        <v>12.566456034119373</v>
      </c>
      <c r="AS73" s="6">
        <v>292.54999999999995</v>
      </c>
      <c r="AT73" s="6">
        <f t="shared" si="82"/>
        <v>1.0558334044684146</v>
      </c>
      <c r="BR73" s="6">
        <f t="shared" si="83"/>
        <v>2</v>
      </c>
      <c r="BS73" s="16">
        <f>BS72+30</f>
        <v>120</v>
      </c>
      <c r="BT73" s="9">
        <v>12.030000000000001</v>
      </c>
      <c r="BU73" s="9">
        <f t="shared" si="84"/>
        <v>0.20050000000000001</v>
      </c>
      <c r="BV73" s="6">
        <f t="shared" si="85"/>
        <v>24.937655860349125</v>
      </c>
      <c r="BW73" s="6">
        <f t="shared" si="94"/>
        <v>12.197796478116427</v>
      </c>
      <c r="BX73" s="6">
        <f t="shared" si="86"/>
        <v>1.0338209356143822E-3</v>
      </c>
      <c r="BY73" s="6">
        <f t="shared" si="95"/>
        <v>2.0874229364620713E-3</v>
      </c>
      <c r="BZ73" s="6">
        <f t="shared" si="96"/>
        <v>12.156478606757691</v>
      </c>
      <c r="CA73" s="6">
        <v>292.04999999999995</v>
      </c>
      <c r="CB73" s="6">
        <f t="shared" si="97"/>
        <v>1.0881916344467251</v>
      </c>
      <c r="DA73" s="6">
        <f t="shared" si="98"/>
        <v>2</v>
      </c>
      <c r="DB73" s="16">
        <f>DB72+30</f>
        <v>120</v>
      </c>
      <c r="DC73" s="9">
        <v>6.7783333333333333</v>
      </c>
      <c r="DD73" s="9">
        <f t="shared" si="99"/>
        <v>0.11297222222222222</v>
      </c>
      <c r="DE73" s="6">
        <f t="shared" si="100"/>
        <v>44.258667322350625</v>
      </c>
      <c r="DF73" s="6">
        <f t="shared" si="101"/>
        <v>3.0798324893234752</v>
      </c>
      <c r="DG73" s="6">
        <f t="shared" si="102"/>
        <v>1.7924484765188358E-3</v>
      </c>
      <c r="DH73" s="6">
        <f t="shared" si="103"/>
        <v>2.0523333203834762E-3</v>
      </c>
      <c r="DI73" s="6">
        <f t="shared" si="104"/>
        <v>2.9985559462863787</v>
      </c>
      <c r="DJ73" s="6">
        <v>298.95</v>
      </c>
      <c r="DK73" s="6">
        <f t="shared" si="105"/>
        <v>1.1046815234354606</v>
      </c>
      <c r="EI73" s="6">
        <f t="shared" si="106"/>
        <v>2</v>
      </c>
      <c r="EJ73" s="16">
        <f>EJ72+30</f>
        <v>120</v>
      </c>
      <c r="EK73" s="9">
        <v>6.086666666666666</v>
      </c>
      <c r="EL73" s="9">
        <f t="shared" si="107"/>
        <v>0.10144444444444443</v>
      </c>
      <c r="EM73" s="6">
        <f t="shared" si="108"/>
        <v>49.28806133625411</v>
      </c>
      <c r="EN73" s="6">
        <f t="shared" si="109"/>
        <v>0.64956070590742288</v>
      </c>
      <c r="EO73" s="6">
        <f t="shared" si="110"/>
        <v>1.9843752519570911E-3</v>
      </c>
      <c r="EP73" s="6">
        <f t="shared" si="111"/>
        <v>2.0388640614864093E-3</v>
      </c>
      <c r="EQ73" s="6">
        <f t="shared" si="112"/>
        <v>0.62869285253626694</v>
      </c>
      <c r="ER73" s="6">
        <v>298.75</v>
      </c>
      <c r="ES73" s="6">
        <f t="shared" si="113"/>
        <v>1.3362087544723527</v>
      </c>
      <c r="FQ73" s="6">
        <f t="shared" si="114"/>
        <v>2</v>
      </c>
      <c r="FR73" s="16">
        <f>FR72+30</f>
        <v>120</v>
      </c>
      <c r="FS73" s="9">
        <v>6.0466666666666669</v>
      </c>
      <c r="FT73" s="9">
        <f t="shared" si="115"/>
        <v>0.10077777777777779</v>
      </c>
      <c r="FU73" s="6">
        <f t="shared" si="116"/>
        <v>49.614112458654901</v>
      </c>
      <c r="FV73" s="6">
        <f t="shared" si="117"/>
        <v>0.48213700114687347</v>
      </c>
      <c r="FW73" s="6">
        <f t="shared" si="118"/>
        <v>2.0001803866682081E-3</v>
      </c>
      <c r="FX73" s="6">
        <f t="shared" si="119"/>
        <v>2.0406789771744258E-3</v>
      </c>
      <c r="FY73" s="6">
        <f t="shared" si="120"/>
        <v>0.46727345686186256</v>
      </c>
      <c r="FZ73" s="6">
        <v>298.34999999999997</v>
      </c>
      <c r="GA73" s="6">
        <f t="shared" si="121"/>
        <v>2.0129590365532692</v>
      </c>
    </row>
    <row r="74" spans="1:183" x14ac:dyDescent="0.3">
      <c r="A74" s="6">
        <f t="shared" si="87"/>
        <v>2.5</v>
      </c>
      <c r="B74" s="16">
        <f t="shared" si="122"/>
        <v>150</v>
      </c>
      <c r="C74" s="9">
        <v>17.805000000000003</v>
      </c>
      <c r="D74" s="9">
        <f t="shared" si="88"/>
        <v>0.29675000000000007</v>
      </c>
      <c r="E74" s="6">
        <f t="shared" si="89"/>
        <v>16.849199663016002</v>
      </c>
      <c r="F74" s="6">
        <f t="shared" si="73"/>
        <v>15.966796431226872</v>
      </c>
      <c r="G74" s="6">
        <f t="shared" si="74"/>
        <v>6.8270361622049575E-4</v>
      </c>
      <c r="H74" s="6">
        <f t="shared" si="90"/>
        <v>2.0306611905790066E-3</v>
      </c>
      <c r="I74" s="6">
        <f t="shared" si="91"/>
        <v>15.552758444196503</v>
      </c>
      <c r="J74" s="6">
        <v>296.84999999999997</v>
      </c>
      <c r="K74" s="6">
        <f t="shared" si="92"/>
        <v>1.0680381313958143</v>
      </c>
      <c r="L74">
        <f t="shared" si="93"/>
        <v>15.736000000000001</v>
      </c>
      <c r="AJ74" s="6">
        <f t="shared" si="75"/>
        <v>3</v>
      </c>
      <c r="AK74" s="16">
        <f>AK73+60</f>
        <v>180</v>
      </c>
      <c r="AL74" s="9">
        <v>12.816666666666668</v>
      </c>
      <c r="AM74" s="9">
        <f t="shared" si="76"/>
        <v>0.21361111111111114</v>
      </c>
      <c r="AN74" s="6">
        <f t="shared" si="77"/>
        <v>23.407022106631988</v>
      </c>
      <c r="AO74" s="6">
        <f t="shared" si="78"/>
        <v>12.883845557040637</v>
      </c>
      <c r="AP74" s="6">
        <f t="shared" si="79"/>
        <v>9.6870818381170087E-4</v>
      </c>
      <c r="AQ74" s="6">
        <f t="shared" si="80"/>
        <v>2.0796666481049633E-3</v>
      </c>
      <c r="AR74" s="6">
        <f t="shared" si="81"/>
        <v>12.818258501133753</v>
      </c>
      <c r="AS74" s="6">
        <v>292.54999999999995</v>
      </c>
      <c r="AT74" s="6">
        <f t="shared" si="82"/>
        <v>1.0769898431078762</v>
      </c>
      <c r="BR74" s="6">
        <f t="shared" si="83"/>
        <v>2.5</v>
      </c>
      <c r="BS74" s="16">
        <f>BS73+30</f>
        <v>150</v>
      </c>
      <c r="BT74" s="9">
        <v>12.958333333333334</v>
      </c>
      <c r="BU74" s="9">
        <f t="shared" si="84"/>
        <v>0.21597222222222223</v>
      </c>
      <c r="BV74" s="6">
        <f t="shared" si="85"/>
        <v>23.15112540192926</v>
      </c>
      <c r="BW74" s="6">
        <f t="shared" si="94"/>
        <v>13.05523880108869</v>
      </c>
      <c r="BX74" s="6">
        <f t="shared" si="86"/>
        <v>9.5910133050159307E-4</v>
      </c>
      <c r="BY74" s="6">
        <f t="shared" si="95"/>
        <v>2.0859944177715919E-3</v>
      </c>
      <c r="BZ74" s="6">
        <f t="shared" si="96"/>
        <v>13.002112464174443</v>
      </c>
      <c r="CA74" s="6">
        <v>292.25</v>
      </c>
      <c r="CB74" s="6">
        <f t="shared" si="97"/>
        <v>1.1638888588826144</v>
      </c>
      <c r="DA74" s="6">
        <f t="shared" si="98"/>
        <v>2.5</v>
      </c>
      <c r="DB74" s="16">
        <f>DB73+30</f>
        <v>150</v>
      </c>
      <c r="DC74" s="9">
        <v>6.79</v>
      </c>
      <c r="DD74" s="9">
        <f t="shared" si="99"/>
        <v>0.11316666666666667</v>
      </c>
      <c r="DE74" s="6">
        <f t="shared" si="100"/>
        <v>44.18262150220913</v>
      </c>
      <c r="DF74" s="6">
        <f t="shared" si="101"/>
        <v>3.1163305542555033</v>
      </c>
      <c r="DG74" s="6">
        <f t="shared" si="102"/>
        <v>1.7869776627373788E-3</v>
      </c>
      <c r="DH74" s="6">
        <f t="shared" si="103"/>
        <v>2.049590934119393E-3</v>
      </c>
      <c r="DI74" s="6">
        <f t="shared" si="104"/>
        <v>3.0300365914620304</v>
      </c>
      <c r="DJ74" s="6">
        <v>299.34999999999997</v>
      </c>
      <c r="DK74" s="6">
        <f t="shared" si="105"/>
        <v>1.1162791349839258</v>
      </c>
      <c r="EI74" s="6">
        <f t="shared" si="106"/>
        <v>2.5</v>
      </c>
      <c r="EJ74" s="16">
        <f>EJ73+30</f>
        <v>150</v>
      </c>
      <c r="EK74" s="9">
        <v>6.09</v>
      </c>
      <c r="EL74" s="9">
        <f t="shared" si="107"/>
        <v>0.10149999999999999</v>
      </c>
      <c r="EM74" s="6">
        <f t="shared" si="108"/>
        <v>49.26108374384237</v>
      </c>
      <c r="EN74" s="6">
        <f t="shared" si="109"/>
        <v>0.66250855652855389</v>
      </c>
      <c r="EO74" s="6">
        <f t="shared" si="110"/>
        <v>1.9799753470695573E-3</v>
      </c>
      <c r="EP74" s="6">
        <f t="shared" si="111"/>
        <v>2.0354574381589467E-3</v>
      </c>
      <c r="EQ74" s="6">
        <f t="shared" si="112"/>
        <v>0.64015335282553854</v>
      </c>
      <c r="ER74" s="6">
        <v>299.25</v>
      </c>
      <c r="ES74" s="6">
        <f t="shared" si="113"/>
        <v>1.3605666277253721</v>
      </c>
      <c r="FQ74" s="6">
        <f t="shared" si="114"/>
        <v>2.5</v>
      </c>
      <c r="FR74" s="16">
        <f>FR73+30</f>
        <v>150</v>
      </c>
      <c r="FS74" s="9">
        <v>6.0471428571428572</v>
      </c>
      <c r="FT74" s="9">
        <f t="shared" si="115"/>
        <v>0.10078571428571428</v>
      </c>
      <c r="FU74" s="6">
        <f t="shared" si="116"/>
        <v>49.610205527994331</v>
      </c>
      <c r="FV74" s="6">
        <f t="shared" si="117"/>
        <v>0.48401212602118071</v>
      </c>
      <c r="FW74" s="6">
        <f t="shared" si="118"/>
        <v>1.9960087846551348E-3</v>
      </c>
      <c r="FX74" s="6">
        <f t="shared" si="119"/>
        <v>2.0365832842949984E-3</v>
      </c>
      <c r="FY74" s="6">
        <f t="shared" si="120"/>
        <v>0.46814929779466474</v>
      </c>
      <c r="FZ74" s="6">
        <v>298.95</v>
      </c>
      <c r="GA74" s="6">
        <f t="shared" si="121"/>
        <v>2.0167320561724611</v>
      </c>
    </row>
    <row r="75" spans="1:183" x14ac:dyDescent="0.3">
      <c r="A75" s="6">
        <f t="shared" si="87"/>
        <v>3</v>
      </c>
      <c r="B75" s="16">
        <f t="shared" si="122"/>
        <v>180</v>
      </c>
      <c r="C75" s="9">
        <v>18.53</v>
      </c>
      <c r="D75" s="9">
        <f t="shared" si="88"/>
        <v>0.30883333333333335</v>
      </c>
      <c r="E75" s="6">
        <f t="shared" si="89"/>
        <v>16.189962223421478</v>
      </c>
      <c r="F75" s="6">
        <f t="shared" si="73"/>
        <v>16.283196344215863</v>
      </c>
      <c r="G75" s="6">
        <f t="shared" si="74"/>
        <v>6.551095823422459E-4</v>
      </c>
      <c r="H75" s="6">
        <f t="shared" si="90"/>
        <v>2.0279285935185134E-3</v>
      </c>
      <c r="I75" s="6">
        <f t="shared" si="91"/>
        <v>15.839610143951395</v>
      </c>
      <c r="J75" s="6">
        <v>297.25</v>
      </c>
      <c r="K75" s="6">
        <f t="shared" si="92"/>
        <v>1.0877367947868251</v>
      </c>
      <c r="L75">
        <f t="shared" si="93"/>
        <v>15.916</v>
      </c>
      <c r="AJ75" s="6"/>
      <c r="AK75" s="16"/>
      <c r="AL75" s="9"/>
      <c r="AM75" s="9"/>
      <c r="AN75" s="6"/>
      <c r="AO75" s="6"/>
      <c r="AP75" s="6"/>
      <c r="AQ75" s="6"/>
      <c r="AR75" s="6"/>
      <c r="AS75" s="6"/>
      <c r="AT75" s="6"/>
      <c r="BR75" s="6">
        <f t="shared" si="83"/>
        <v>3</v>
      </c>
      <c r="BS75" s="16">
        <f>BS74+30</f>
        <v>180</v>
      </c>
      <c r="BT75" s="9">
        <v>14.845999999999998</v>
      </c>
      <c r="BU75" s="9">
        <f t="shared" si="84"/>
        <v>0.24743333333333331</v>
      </c>
      <c r="BV75" s="6">
        <f t="shared" si="85"/>
        <v>20.207463289775024</v>
      </c>
      <c r="BW75" s="6">
        <f t="shared" si="94"/>
        <v>14.46804453725475</v>
      </c>
      <c r="BX75" s="6">
        <f t="shared" si="86"/>
        <v>8.3629327018635549E-4</v>
      </c>
      <c r="BY75" s="6">
        <f t="shared" si="95"/>
        <v>2.0838553019782869E-3</v>
      </c>
      <c r="BZ75" s="6">
        <f t="shared" si="96"/>
        <v>14.394392890180356</v>
      </c>
      <c r="CA75" s="6">
        <v>292.54999999999995</v>
      </c>
      <c r="CB75" s="6">
        <f t="shared" si="97"/>
        <v>1.2885193510994428</v>
      </c>
      <c r="DA75" s="6">
        <f t="shared" si="98"/>
        <v>3</v>
      </c>
      <c r="DB75" s="16">
        <f>DB74+30</f>
        <v>180</v>
      </c>
      <c r="DC75" s="9">
        <v>6.8033333333333337</v>
      </c>
      <c r="DD75" s="9">
        <f t="shared" si="99"/>
        <v>0.1133888888888889</v>
      </c>
      <c r="DE75" s="6">
        <f t="shared" si="100"/>
        <v>44.09603135717785</v>
      </c>
      <c r="DF75" s="6">
        <f t="shared" si="101"/>
        <v>3.1578893503858505</v>
      </c>
      <c r="DG75" s="6">
        <f t="shared" si="102"/>
        <v>1.7781295301840406E-3</v>
      </c>
      <c r="DH75" s="6">
        <f t="shared" si="103"/>
        <v>2.0434472810279439E-3</v>
      </c>
      <c r="DI75" s="6">
        <f t="shared" si="104"/>
        <v>3.0612409235479778</v>
      </c>
      <c r="DJ75" s="6">
        <v>300.25</v>
      </c>
      <c r="DK75" s="6">
        <f t="shared" si="105"/>
        <v>1.1277749515449547</v>
      </c>
      <c r="EI75" s="6">
        <f t="shared" si="106"/>
        <v>3</v>
      </c>
      <c r="EJ75" s="16">
        <f>EJ74+30</f>
        <v>180</v>
      </c>
      <c r="EK75" s="9">
        <v>6.0999999999999988</v>
      </c>
      <c r="EL75" s="9">
        <f t="shared" si="107"/>
        <v>0.10166666666666664</v>
      </c>
      <c r="EM75" s="6">
        <f t="shared" si="108"/>
        <v>49.180327868852473</v>
      </c>
      <c r="EN75" s="6">
        <f t="shared" si="109"/>
        <v>0.70126720445344803</v>
      </c>
      <c r="EO75" s="6">
        <f t="shared" si="110"/>
        <v>1.9760691452783445E-3</v>
      </c>
      <c r="EP75" s="6">
        <f t="shared" si="111"/>
        <v>2.0347774791016032E-3</v>
      </c>
      <c r="EQ75" s="6">
        <f t="shared" si="112"/>
        <v>0.67737779881456928</v>
      </c>
      <c r="ER75" s="6">
        <v>299.34999999999997</v>
      </c>
      <c r="ES75" s="6">
        <f t="shared" si="113"/>
        <v>1.4396825750600155</v>
      </c>
      <c r="FQ75" s="6">
        <f t="shared" si="114"/>
        <v>3</v>
      </c>
      <c r="FR75" s="16">
        <f>FR74+30</f>
        <v>180</v>
      </c>
      <c r="FS75" s="9">
        <v>6.0716666666666663</v>
      </c>
      <c r="FT75" s="9">
        <f t="shared" si="115"/>
        <v>0.10119444444444443</v>
      </c>
      <c r="FU75" s="6">
        <f t="shared" si="116"/>
        <v>49.409827065605278</v>
      </c>
      <c r="FV75" s="6">
        <f t="shared" si="117"/>
        <v>0.58018343586632293</v>
      </c>
      <c r="FW75" s="6">
        <f t="shared" si="118"/>
        <v>1.9833028303530482E-3</v>
      </c>
      <c r="FX75" s="6">
        <f t="shared" si="119"/>
        <v>2.0318257061237772E-3</v>
      </c>
      <c r="FY75" s="6">
        <f t="shared" si="120"/>
        <v>0.55985780282368758</v>
      </c>
      <c r="FZ75" s="6">
        <v>299.64999999999998</v>
      </c>
      <c r="GA75" s="6">
        <f t="shared" si="121"/>
        <v>2.4118014983075753</v>
      </c>
    </row>
    <row r="76" spans="1:183" x14ac:dyDescent="0.3">
      <c r="A76" s="6">
        <f t="shared" si="87"/>
        <v>3.5</v>
      </c>
      <c r="B76" s="16">
        <f t="shared" si="122"/>
        <v>210</v>
      </c>
      <c r="C76" s="9">
        <v>18.364999999999998</v>
      </c>
      <c r="D76" s="9">
        <f t="shared" si="88"/>
        <v>0.30608333333333332</v>
      </c>
      <c r="E76" s="6">
        <f t="shared" si="89"/>
        <v>16.335420637081405</v>
      </c>
      <c r="F76" s="6">
        <f t="shared" si="73"/>
        <v>16.213383820440171</v>
      </c>
      <c r="G76" s="6">
        <f t="shared" si="74"/>
        <v>7.1931496721295803E-4</v>
      </c>
      <c r="H76" s="6">
        <f t="shared" si="90"/>
        <v>2.2068525514310016E-3</v>
      </c>
      <c r="I76" s="6">
        <f t="shared" si="91"/>
        <v>17.163235078089805</v>
      </c>
      <c r="J76" s="6">
        <v>273.14999999999998</v>
      </c>
      <c r="K76" s="6">
        <f t="shared" si="92"/>
        <v>1.1786326899682751</v>
      </c>
      <c r="L76">
        <f t="shared" si="93"/>
        <v>16.096</v>
      </c>
      <c r="AJ76" s="6"/>
      <c r="AK76" s="16"/>
      <c r="AL76" s="9"/>
      <c r="AM76" s="9"/>
      <c r="AN76" s="6"/>
      <c r="AO76" s="6"/>
      <c r="AP76" s="6"/>
      <c r="AQ76" s="6"/>
      <c r="AR76" s="6"/>
      <c r="AS76" s="6"/>
      <c r="AT76" s="6"/>
      <c r="BR76" s="6"/>
      <c r="BS76" s="16"/>
      <c r="BT76" s="9"/>
      <c r="BU76" s="9"/>
      <c r="BV76" s="6"/>
      <c r="BW76" s="6"/>
      <c r="BX76" s="6"/>
      <c r="BY76" s="6"/>
      <c r="BZ76" s="6"/>
      <c r="CA76" s="6"/>
      <c r="CB76" s="6"/>
      <c r="DA76" s="6">
        <f t="shared" si="98"/>
        <v>4</v>
      </c>
      <c r="DB76" s="16">
        <f>DB75+60</f>
        <v>240</v>
      </c>
      <c r="DC76" s="79">
        <v>6.8066666666666675</v>
      </c>
      <c r="DD76" s="9">
        <f t="shared" si="99"/>
        <v>0.11344444444444446</v>
      </c>
      <c r="DE76" s="6">
        <f>5/DD76</f>
        <v>44.074436826640543</v>
      </c>
      <c r="DF76" s="6">
        <f t="shared" si="101"/>
        <v>3.1682536094110119</v>
      </c>
      <c r="DG76" s="6">
        <f>(100660*DE76/1000000)/(8.314*DJ76)</f>
        <v>1.7719473359377768E-3</v>
      </c>
      <c r="DH76" s="6">
        <f t="shared" si="103"/>
        <v>2.03734034909062E-3</v>
      </c>
      <c r="DI76" s="6">
        <f t="shared" si="104"/>
        <v>3.0621093014058296</v>
      </c>
      <c r="DJ76" s="6">
        <v>301.14999999999998</v>
      </c>
      <c r="DK76" s="6">
        <f t="shared" si="105"/>
        <v>1.1280948658610832</v>
      </c>
      <c r="EI76" s="6">
        <f t="shared" si="106"/>
        <v>4</v>
      </c>
      <c r="EJ76" s="16">
        <f>EJ75+60</f>
        <v>240</v>
      </c>
      <c r="EK76" s="79">
        <v>6.1016666666666666</v>
      </c>
      <c r="EL76" s="9">
        <f t="shared" si="107"/>
        <v>0.10169444444444445</v>
      </c>
      <c r="EM76" s="6">
        <f t="shared" si="108"/>
        <v>49.166894291177272</v>
      </c>
      <c r="EN76" s="6">
        <f t="shared" si="109"/>
        <v>0.70771462772203331</v>
      </c>
      <c r="EO76" s="6">
        <f t="shared" si="110"/>
        <v>1.9748696638720691E-3</v>
      </c>
      <c r="EP76" s="6">
        <f t="shared" si="111"/>
        <v>2.0340979741828844E-3</v>
      </c>
      <c r="EQ76" s="6">
        <f t="shared" si="112"/>
        <v>0.68337729676722492</v>
      </c>
      <c r="ER76" s="6">
        <v>299.45</v>
      </c>
      <c r="ES76" s="6">
        <f t="shared" si="113"/>
        <v>1.4524337645390069</v>
      </c>
      <c r="FQ76" s="6">
        <f t="shared" si="114"/>
        <v>4</v>
      </c>
      <c r="FR76" s="16">
        <f>FR75+60</f>
        <v>240</v>
      </c>
      <c r="FS76" s="79">
        <v>6.0683333333333342</v>
      </c>
      <c r="FT76" s="9">
        <f t="shared" si="115"/>
        <v>0.1011388888888889</v>
      </c>
      <c r="FU76" s="6">
        <f t="shared" si="116"/>
        <v>49.436967865970878</v>
      </c>
      <c r="FV76" s="6">
        <f t="shared" si="117"/>
        <v>0.56715725385910953</v>
      </c>
      <c r="FW76" s="6">
        <f t="shared" si="118"/>
        <v>1.9850547156622547E-3</v>
      </c>
      <c r="FX76" s="6">
        <f t="shared" si="119"/>
        <v>2.0325039987981637E-3</v>
      </c>
      <c r="FY76" s="6">
        <f t="shared" si="120"/>
        <v>0.54747067192695276</v>
      </c>
      <c r="FZ76" s="6">
        <v>299.54999999999995</v>
      </c>
      <c r="GA76" s="6">
        <f t="shared" si="121"/>
        <v>2.3584391968342393</v>
      </c>
    </row>
    <row r="77" spans="1:183" x14ac:dyDescent="0.3">
      <c r="A77" s="6">
        <f t="shared" si="87"/>
        <v>4</v>
      </c>
      <c r="B77" s="16">
        <f t="shared" si="122"/>
        <v>240</v>
      </c>
      <c r="C77" s="8">
        <v>18.44166666666667</v>
      </c>
      <c r="D77" s="9">
        <f t="shared" si="88"/>
        <v>0.30736111111111114</v>
      </c>
      <c r="E77" s="6">
        <f t="shared" si="89"/>
        <v>16.267510167193851</v>
      </c>
      <c r="F77" s="6">
        <f t="shared" si="73"/>
        <v>16.245977337544844</v>
      </c>
      <c r="G77" s="6">
        <f t="shared" si="74"/>
        <v>7.1632459319652798E-4</v>
      </c>
      <c r="H77" s="6">
        <f t="shared" si="90"/>
        <v>2.2068525514310016E-3</v>
      </c>
      <c r="I77" s="6">
        <f t="shared" si="91"/>
        <v>17.19773806662598</v>
      </c>
      <c r="J77" s="6">
        <v>273.14999999999998</v>
      </c>
      <c r="K77" s="6">
        <f t="shared" si="92"/>
        <v>1.1810020772082279</v>
      </c>
      <c r="L77">
        <f t="shared" si="93"/>
        <v>16.276</v>
      </c>
      <c r="AJ77" s="6"/>
      <c r="AK77" s="16"/>
      <c r="AL77" s="8"/>
      <c r="AM77" s="9"/>
      <c r="AN77" s="6"/>
      <c r="AO77" s="6"/>
      <c r="AP77" s="6"/>
      <c r="AQ77" s="6"/>
      <c r="AR77" s="6"/>
      <c r="AS77" s="6"/>
      <c r="AT77" s="6"/>
      <c r="BR77" s="6"/>
      <c r="BS77" s="16"/>
      <c r="BT77" s="8"/>
      <c r="BU77" s="9"/>
      <c r="BV77" s="6"/>
      <c r="BW77" s="6"/>
      <c r="BX77" s="6"/>
      <c r="BY77" s="6"/>
      <c r="BZ77" s="6"/>
      <c r="CA77" s="6"/>
      <c r="CB77" s="6"/>
      <c r="DA77" s="6">
        <f t="shared" si="98"/>
        <v>6</v>
      </c>
      <c r="DB77" s="16">
        <f>DB76+120</f>
        <v>360</v>
      </c>
      <c r="DC77" s="79">
        <v>6.8583333333333343</v>
      </c>
      <c r="DD77" s="9">
        <f t="shared" si="99"/>
        <v>0.11430555555555558</v>
      </c>
      <c r="DE77" s="6">
        <f>5/DD77</f>
        <v>43.74240583232077</v>
      </c>
      <c r="DF77" s="6">
        <f t="shared" si="101"/>
        <v>3.3276113330515829</v>
      </c>
      <c r="DG77" s="6">
        <f>(100660*DE77/1000000)/(8.314*DJ77)</f>
        <v>1.7556835572427221E-3</v>
      </c>
      <c r="DH77" s="6">
        <f t="shared" si="103"/>
        <v>2.0339633553079404E-3</v>
      </c>
      <c r="DI77" s="6">
        <f t="shared" si="104"/>
        <v>3.2107972547042607</v>
      </c>
      <c r="DJ77" s="6">
        <v>301.64999999999998</v>
      </c>
      <c r="DK77" s="6">
        <f t="shared" si="105"/>
        <v>1.1828721779101159</v>
      </c>
      <c r="EI77" s="6">
        <f t="shared" si="106"/>
        <v>6</v>
      </c>
      <c r="EJ77" s="16">
        <f>EJ76+120</f>
        <v>360</v>
      </c>
      <c r="EK77" s="79">
        <v>6.1057142857142859</v>
      </c>
      <c r="EL77" s="9">
        <f t="shared" si="107"/>
        <v>0.10176190476190476</v>
      </c>
      <c r="EM77" s="6">
        <f t="shared" si="108"/>
        <v>49.134300421151146</v>
      </c>
      <c r="EN77" s="6">
        <f t="shared" si="109"/>
        <v>0.72335800144574602</v>
      </c>
      <c r="EO77" s="6">
        <f t="shared" si="110"/>
        <v>1.9696140139401491E-3</v>
      </c>
      <c r="EP77" s="6">
        <f t="shared" si="111"/>
        <v>2.0300304561541903E-3</v>
      </c>
      <c r="EQ77" s="6">
        <f t="shared" si="112"/>
        <v>0.69708598377802233</v>
      </c>
      <c r="ER77" s="6">
        <v>300.04999999999995</v>
      </c>
      <c r="ES77" s="6">
        <f t="shared" si="113"/>
        <v>1.4815698800877235</v>
      </c>
      <c r="FQ77" s="6">
        <f t="shared" si="114"/>
        <v>6</v>
      </c>
      <c r="FR77" s="16">
        <f>FR76+120</f>
        <v>360</v>
      </c>
      <c r="FS77" s="79">
        <v>6.0962500000000004</v>
      </c>
      <c r="FT77" s="9">
        <f t="shared" si="115"/>
        <v>0.10160416666666668</v>
      </c>
      <c r="FU77" s="6">
        <f t="shared" si="116"/>
        <v>49.210580274759067</v>
      </c>
      <c r="FV77" s="6">
        <f t="shared" si="117"/>
        <v>0.67581160183615951</v>
      </c>
      <c r="FW77" s="6">
        <f t="shared" si="118"/>
        <v>1.9674261980902187E-3</v>
      </c>
      <c r="FX77" s="6">
        <f t="shared" si="119"/>
        <v>2.0237213655974404E-3</v>
      </c>
      <c r="FY77" s="6">
        <f t="shared" si="120"/>
        <v>0.64953464298167385</v>
      </c>
      <c r="FZ77" s="6">
        <v>300.84999999999997</v>
      </c>
      <c r="GA77" s="6">
        <f t="shared" si="121"/>
        <v>2.7981187673814025</v>
      </c>
    </row>
    <row r="78" spans="1:183" x14ac:dyDescent="0.3">
      <c r="A78" s="6">
        <f t="shared" si="87"/>
        <v>4.5</v>
      </c>
      <c r="B78" s="16">
        <f t="shared" si="122"/>
        <v>270</v>
      </c>
      <c r="C78" s="8">
        <v>18.504999999999999</v>
      </c>
      <c r="D78" s="9">
        <f t="shared" si="88"/>
        <v>0.30841666666666667</v>
      </c>
      <c r="E78" s="6">
        <f t="shared" si="89"/>
        <v>16.211834639286678</v>
      </c>
      <c r="F78" s="6">
        <f t="shared" si="73"/>
        <v>16.272698714589623</v>
      </c>
      <c r="G78" s="6">
        <f t="shared" si="74"/>
        <v>7.1387297340534835E-4</v>
      </c>
      <c r="H78" s="6">
        <f t="shared" si="90"/>
        <v>2.2068525514310016E-3</v>
      </c>
      <c r="I78" s="6">
        <f t="shared" si="91"/>
        <v>17.226024899338331</v>
      </c>
      <c r="J78" s="6">
        <v>273.14999999999998</v>
      </c>
      <c r="K78" s="6">
        <f t="shared" si="92"/>
        <v>1.1829445889537555</v>
      </c>
      <c r="L78">
        <f t="shared" si="93"/>
        <v>16.456</v>
      </c>
      <c r="AJ78" s="6"/>
      <c r="AK78" s="16"/>
      <c r="AL78" s="8"/>
      <c r="AM78" s="9"/>
      <c r="AN78" s="6"/>
      <c r="AO78" s="6"/>
      <c r="AP78" s="6"/>
      <c r="AQ78" s="6"/>
      <c r="AR78" s="6"/>
      <c r="AS78" s="6"/>
      <c r="AT78" s="6"/>
      <c r="BR78" s="6"/>
      <c r="BS78" s="16"/>
      <c r="BT78" s="8"/>
      <c r="BU78" s="9"/>
      <c r="BV78" s="6"/>
      <c r="BW78" s="6"/>
      <c r="BX78" s="6"/>
      <c r="BY78" s="6"/>
      <c r="BZ78" s="6"/>
      <c r="CA78" s="6"/>
      <c r="CB78" s="6"/>
      <c r="DA78" s="6">
        <f t="shared" si="98"/>
        <v>8</v>
      </c>
      <c r="DB78" s="16">
        <f>DB77+120</f>
        <v>480</v>
      </c>
      <c r="DC78" s="79">
        <v>6.876666666666666</v>
      </c>
      <c r="DD78" s="9">
        <f t="shared" si="99"/>
        <v>0.11461111111111109</v>
      </c>
      <c r="DE78" s="6">
        <f>5/DD78</f>
        <v>43.62578768783326</v>
      </c>
      <c r="DF78" s="6">
        <f t="shared" si="101"/>
        <v>3.3835820175920124</v>
      </c>
      <c r="DG78" s="6">
        <f>(100660*DE78/1000000)/(8.314*DJ78)</f>
        <v>1.7521645894004875E-3</v>
      </c>
      <c r="DH78" s="6">
        <f t="shared" si="103"/>
        <v>2.0353128085209495E-3</v>
      </c>
      <c r="DI78" s="6">
        <f t="shared" si="104"/>
        <v>3.2669691833444325</v>
      </c>
      <c r="DJ78" s="6">
        <v>301.45</v>
      </c>
      <c r="DK78" s="6">
        <f t="shared" si="105"/>
        <v>1.2035661695567892</v>
      </c>
      <c r="EI78" s="6">
        <f t="shared" si="106"/>
        <v>8</v>
      </c>
      <c r="EJ78" s="16">
        <f>EJ77+120</f>
        <v>480</v>
      </c>
      <c r="EK78" s="79">
        <v>6.1066666666666656</v>
      </c>
      <c r="EL78" s="9">
        <f t="shared" si="107"/>
        <v>0.10177777777777776</v>
      </c>
      <c r="EM78" s="6">
        <f t="shared" si="108"/>
        <v>49.126637554585159</v>
      </c>
      <c r="EN78" s="6">
        <f t="shared" si="109"/>
        <v>0.72703578151269077</v>
      </c>
      <c r="EO78" s="6">
        <f t="shared" si="110"/>
        <v>1.967339825715527E-3</v>
      </c>
      <c r="EP78" s="6">
        <f t="shared" si="111"/>
        <v>2.0280027913070248E-3</v>
      </c>
      <c r="EQ78" s="6">
        <f t="shared" si="112"/>
        <v>0.69993037488747867</v>
      </c>
      <c r="ER78" s="6">
        <v>300.34999999999997</v>
      </c>
      <c r="ES78" s="6">
        <f t="shared" si="113"/>
        <v>1.4876152809321359</v>
      </c>
      <c r="FQ78" s="6">
        <f t="shared" si="114"/>
        <v>8</v>
      </c>
      <c r="FR78" s="16">
        <f>FR77+120</f>
        <v>480</v>
      </c>
      <c r="FS78" s="79">
        <v>6.0966666666666667</v>
      </c>
      <c r="FT78" s="9">
        <f t="shared" si="115"/>
        <v>0.10161111111111111</v>
      </c>
      <c r="FU78" s="6">
        <f t="shared" si="116"/>
        <v>49.207217058501911</v>
      </c>
      <c r="FV78" s="6">
        <f t="shared" si="117"/>
        <v>0.67742577188660758</v>
      </c>
      <c r="FW78" s="6">
        <f t="shared" si="118"/>
        <v>1.9745111567996145E-3</v>
      </c>
      <c r="FX78" s="6">
        <f t="shared" si="119"/>
        <v>2.0311478660216507E-3</v>
      </c>
      <c r="FY78" s="6">
        <f t="shared" si="120"/>
        <v>0.65347535735590434</v>
      </c>
      <c r="FZ78" s="6">
        <v>299.75</v>
      </c>
      <c r="GA78" s="6">
        <f t="shared" si="121"/>
        <v>2.8150949009357373</v>
      </c>
    </row>
    <row r="79" spans="1:183" x14ac:dyDescent="0.3">
      <c r="A79" s="6">
        <f t="shared" si="87"/>
        <v>5</v>
      </c>
      <c r="B79" s="16">
        <f t="shared" si="122"/>
        <v>300</v>
      </c>
      <c r="C79" s="8">
        <v>18.600000000000001</v>
      </c>
      <c r="D79" s="9">
        <f t="shared" si="88"/>
        <v>0.31</v>
      </c>
      <c r="E79" s="6">
        <f t="shared" si="89"/>
        <v>16.129032258064516</v>
      </c>
      <c r="F79" s="6">
        <f t="shared" si="73"/>
        <v>16.312439579777884</v>
      </c>
      <c r="G79" s="6">
        <f t="shared" si="74"/>
        <v>7.1022684800354694E-4</v>
      </c>
      <c r="H79" s="6">
        <f t="shared" si="90"/>
        <v>2.2068525514310016E-3</v>
      </c>
      <c r="I79" s="6">
        <f t="shared" si="91"/>
        <v>17.268093959010667</v>
      </c>
      <c r="J79" s="6">
        <v>273.14999999999998</v>
      </c>
      <c r="K79" s="6">
        <f t="shared" si="92"/>
        <v>1.1858335529946511</v>
      </c>
      <c r="L79">
        <f t="shared" si="93"/>
        <v>16.635999999999999</v>
      </c>
      <c r="AJ79" s="6"/>
      <c r="AK79" s="16"/>
      <c r="AL79" s="8"/>
      <c r="AM79" s="9"/>
      <c r="AN79" s="6"/>
      <c r="AO79" s="6"/>
      <c r="AP79" s="6"/>
      <c r="AQ79" s="6"/>
      <c r="AR79" s="6"/>
      <c r="AS79" s="6"/>
      <c r="AT79" s="6"/>
      <c r="BR79" s="6"/>
      <c r="BS79" s="16"/>
      <c r="BT79" s="8"/>
      <c r="BU79" s="9"/>
      <c r="BV79" s="6"/>
      <c r="BW79" s="6"/>
      <c r="BX79" s="6"/>
      <c r="BY79" s="6"/>
      <c r="BZ79" s="6"/>
      <c r="CA79" s="6"/>
      <c r="CB79" s="6"/>
      <c r="DA79" s="6">
        <f t="shared" si="98"/>
        <v>10</v>
      </c>
      <c r="DB79" s="16">
        <f>DB78+120</f>
        <v>600</v>
      </c>
      <c r="DC79" s="79">
        <v>6.8766666666666652</v>
      </c>
      <c r="DD79" s="9">
        <f t="shared" si="99"/>
        <v>0.11461111111111108</v>
      </c>
      <c r="DE79" s="6">
        <f>5/DD79</f>
        <v>43.625787687833267</v>
      </c>
      <c r="DF79" s="6">
        <f t="shared" si="101"/>
        <v>3.3835820175920084</v>
      </c>
      <c r="DG79" s="6">
        <f>(100660*DE79/1000000)/(8.314*DJ79)</f>
        <v>1.7615141419869171E-3</v>
      </c>
      <c r="DH79" s="6">
        <f t="shared" si="103"/>
        <v>2.0461732403823252E-3</v>
      </c>
      <c r="DI79" s="6">
        <f t="shared" si="104"/>
        <v>3.2844017352648924</v>
      </c>
      <c r="DJ79" s="6">
        <v>299.84999999999997</v>
      </c>
      <c r="DK79" s="6">
        <f t="shared" si="105"/>
        <v>1.2099884002431005</v>
      </c>
      <c r="EI79" s="6">
        <f t="shared" si="106"/>
        <v>10</v>
      </c>
      <c r="EJ79" s="16">
        <f>EJ78+120</f>
        <v>600</v>
      </c>
      <c r="EK79" s="79">
        <v>6.12</v>
      </c>
      <c r="EL79" s="9">
        <f t="shared" si="107"/>
        <v>0.10200000000000001</v>
      </c>
      <c r="EM79" s="6">
        <f t="shared" si="108"/>
        <v>49.019607843137251</v>
      </c>
      <c r="EN79" s="6">
        <f t="shared" si="109"/>
        <v>0.77840451355889073</v>
      </c>
      <c r="EO79" s="6">
        <f t="shared" si="110"/>
        <v>1.9722467753140018E-3</v>
      </c>
      <c r="EP79" s="6">
        <f t="shared" si="111"/>
        <v>2.0375000447200695E-3</v>
      </c>
      <c r="EQ79" s="6">
        <f t="shared" si="112"/>
        <v>0.75289338186301713</v>
      </c>
      <c r="ER79" s="6">
        <v>298.95</v>
      </c>
      <c r="ES79" s="6">
        <f t="shared" si="113"/>
        <v>1.6001815894218803</v>
      </c>
      <c r="FQ79" s="6">
        <f t="shared" si="114"/>
        <v>10</v>
      </c>
      <c r="FR79" s="16">
        <f>FR78+120</f>
        <v>600</v>
      </c>
      <c r="FS79" s="79">
        <v>6.0949999999999989</v>
      </c>
      <c r="FT79" s="9">
        <f t="shared" si="115"/>
        <v>0.10158333333333332</v>
      </c>
      <c r="FU79" s="6">
        <f t="shared" si="116"/>
        <v>49.220672682526668</v>
      </c>
      <c r="FV79" s="6">
        <f t="shared" si="117"/>
        <v>0.67096776750920983</v>
      </c>
      <c r="FW79" s="6">
        <f t="shared" si="118"/>
        <v>1.9856500493532054E-3</v>
      </c>
      <c r="FX79" s="6">
        <f t="shared" si="119"/>
        <v>2.0420478713398956E-3</v>
      </c>
      <c r="FY79" s="6">
        <f t="shared" si="120"/>
        <v>0.65071907218980285</v>
      </c>
      <c r="FZ79" s="6">
        <v>298.14999999999998</v>
      </c>
      <c r="GA79" s="6">
        <f t="shared" si="121"/>
        <v>2.8032211489582912</v>
      </c>
    </row>
    <row r="80" spans="1:183" x14ac:dyDescent="0.3">
      <c r="A80" s="6">
        <f t="shared" si="87"/>
        <v>5.5</v>
      </c>
      <c r="B80" s="16">
        <f t="shared" si="122"/>
        <v>330</v>
      </c>
      <c r="C80" s="8">
        <v>18.677500000000002</v>
      </c>
      <c r="D80" s="9">
        <f t="shared" si="88"/>
        <v>0.31129166666666669</v>
      </c>
      <c r="E80" s="6">
        <f t="shared" si="89"/>
        <v>16.062106813010306</v>
      </c>
      <c r="F80" s="6">
        <f t="shared" si="73"/>
        <v>16.344560335851629</v>
      </c>
      <c r="G80" s="6">
        <f t="shared" si="74"/>
        <v>7.0727984863423754E-4</v>
      </c>
      <c r="H80" s="6">
        <f t="shared" si="90"/>
        <v>2.2068525514310016E-3</v>
      </c>
      <c r="I80" s="6">
        <f t="shared" si="91"/>
        <v>17.302096490097661</v>
      </c>
      <c r="J80" s="6">
        <v>273.14999999999998</v>
      </c>
      <c r="K80" s="6">
        <f t="shared" si="92"/>
        <v>1.1881685728495008</v>
      </c>
      <c r="L80">
        <f t="shared" si="93"/>
        <v>16.815999999999999</v>
      </c>
      <c r="AJ80" s="6"/>
      <c r="AK80" s="16"/>
      <c r="AL80" s="8"/>
      <c r="AM80" s="9"/>
      <c r="AN80" s="6"/>
      <c r="AO80" s="6"/>
      <c r="AP80" s="6"/>
      <c r="AQ80" s="6"/>
      <c r="AR80" s="6"/>
      <c r="AS80" s="6"/>
      <c r="AT80" s="6"/>
      <c r="BR80" s="6"/>
      <c r="BS80" s="16"/>
      <c r="BT80" s="8"/>
      <c r="BU80" s="9"/>
      <c r="BV80" s="6"/>
      <c r="BW80" s="6"/>
      <c r="BX80" s="6"/>
      <c r="BY80" s="6"/>
      <c r="BZ80" s="6"/>
      <c r="CA80" s="6"/>
      <c r="CB80" s="6"/>
      <c r="DA80" s="6">
        <f t="shared" si="98"/>
        <v>12</v>
      </c>
      <c r="DB80" s="16">
        <f>DB79+120</f>
        <v>720</v>
      </c>
      <c r="DC80" s="79">
        <v>6.876666666666666</v>
      </c>
      <c r="DD80" s="9">
        <f t="shared" si="99"/>
        <v>0.11461111111111109</v>
      </c>
      <c r="DE80" s="6">
        <f>5/DD80</f>
        <v>43.62578768783326</v>
      </c>
      <c r="DF80" s="6">
        <f t="shared" si="101"/>
        <v>3.3835820175920124</v>
      </c>
      <c r="DG80" s="6">
        <f>(100660*DE80/1000000)/(8.314*DJ80)</f>
        <v>1.7793162050691493E-3</v>
      </c>
      <c r="DH80" s="6">
        <f t="shared" si="103"/>
        <v>2.066852100820752E-3</v>
      </c>
      <c r="DI80" s="6">
        <f t="shared" si="104"/>
        <v>3.317594274277174</v>
      </c>
      <c r="DJ80" s="6">
        <v>296.84999999999997</v>
      </c>
      <c r="DK80" s="6">
        <f t="shared" si="105"/>
        <v>1.2222166811955335</v>
      </c>
      <c r="EI80" s="6">
        <f t="shared" si="106"/>
        <v>12</v>
      </c>
      <c r="EJ80" s="16">
        <f>EJ79+120</f>
        <v>720</v>
      </c>
      <c r="EK80" s="79">
        <v>6.1350000000000007</v>
      </c>
      <c r="EL80" s="9">
        <f t="shared" si="107"/>
        <v>0.10225000000000001</v>
      </c>
      <c r="EM80" s="6">
        <f t="shared" si="108"/>
        <v>48.899755501222494</v>
      </c>
      <c r="EN80" s="6">
        <f t="shared" si="109"/>
        <v>0.83592744577687816</v>
      </c>
      <c r="EO80" s="6">
        <f t="shared" si="110"/>
        <v>1.9733655458105178E-3</v>
      </c>
      <c r="EP80" s="6">
        <f t="shared" si="111"/>
        <v>2.0436525360478606E-3</v>
      </c>
      <c r="EQ80" s="6">
        <f t="shared" si="112"/>
        <v>0.81097254225617599</v>
      </c>
      <c r="ER80" s="6">
        <v>298.04999999999995</v>
      </c>
      <c r="ES80" s="6">
        <f t="shared" si="113"/>
        <v>1.7236216480397981</v>
      </c>
      <c r="FQ80" s="6">
        <f t="shared" si="114"/>
        <v>12</v>
      </c>
      <c r="FR80" s="16">
        <f>FR79+120</f>
        <v>720</v>
      </c>
      <c r="FS80" s="79">
        <v>6.1566666666666672</v>
      </c>
      <c r="FT80" s="9">
        <f t="shared" si="115"/>
        <v>0.10261111111111113</v>
      </c>
      <c r="FU80" s="6">
        <f t="shared" si="116"/>
        <v>48.727666486193819</v>
      </c>
      <c r="FV80" s="6">
        <f t="shared" si="117"/>
        <v>0.90758527169508674</v>
      </c>
      <c r="FW80" s="6">
        <f t="shared" si="118"/>
        <v>1.9690634323851252E-3</v>
      </c>
      <c r="FX80" s="6">
        <f t="shared" si="119"/>
        <v>2.0454781550142444E-3</v>
      </c>
      <c r="FY80" s="6">
        <f t="shared" si="120"/>
        <v>0.88167442747339586</v>
      </c>
      <c r="FZ80" s="6">
        <v>297.64999999999998</v>
      </c>
      <c r="GA80" s="6">
        <f t="shared" si="121"/>
        <v>3.7981496274143578</v>
      </c>
    </row>
    <row r="81" spans="1:183" x14ac:dyDescent="0.3">
      <c r="A81" s="6">
        <f t="shared" si="87"/>
        <v>6</v>
      </c>
      <c r="B81" s="16">
        <f t="shared" si="122"/>
        <v>360</v>
      </c>
      <c r="C81" s="8">
        <v>18.490000000000002</v>
      </c>
      <c r="D81" s="9">
        <f t="shared" si="88"/>
        <v>0.3081666666666667</v>
      </c>
      <c r="E81" s="6">
        <f t="shared" si="89"/>
        <v>16.224986479177932</v>
      </c>
      <c r="F81" s="6">
        <f t="shared" si="73"/>
        <v>16.266386510901992</v>
      </c>
      <c r="G81" s="6">
        <f t="shared" si="74"/>
        <v>7.1445210237241596E-4</v>
      </c>
      <c r="H81" s="6">
        <f t="shared" si="90"/>
        <v>2.2068525514310016E-3</v>
      </c>
      <c r="I81" s="6">
        <f t="shared" si="91"/>
        <v>17.219342899026024</v>
      </c>
      <c r="J81" s="6">
        <v>273.14999999999998</v>
      </c>
      <c r="K81" s="6">
        <f t="shared" si="92"/>
        <v>1.1824857230134691</v>
      </c>
      <c r="L81">
        <f t="shared" si="93"/>
        <v>16.996000000000002</v>
      </c>
      <c r="AJ81" s="6"/>
      <c r="AK81" s="16"/>
      <c r="AL81" s="8"/>
      <c r="AM81" s="9"/>
      <c r="AN81" s="6"/>
      <c r="AO81" s="6"/>
      <c r="AP81" s="6"/>
      <c r="AQ81" s="6"/>
      <c r="AR81" s="6"/>
      <c r="AS81" s="6"/>
      <c r="AT81" s="6"/>
      <c r="BR81" s="6"/>
      <c r="BS81" s="16"/>
      <c r="BT81" s="8"/>
      <c r="BU81" s="9"/>
      <c r="BV81" s="6"/>
      <c r="BW81" s="6"/>
      <c r="BX81" s="6"/>
      <c r="BY81" s="6"/>
      <c r="BZ81" s="6"/>
      <c r="CA81" s="6"/>
      <c r="CB81" s="6"/>
      <c r="DA81" s="6"/>
      <c r="DB81" s="16"/>
      <c r="DC81" s="8"/>
      <c r="DD81" s="9"/>
      <c r="DE81" s="6"/>
      <c r="DF81" s="6"/>
      <c r="DG81" s="6"/>
      <c r="DH81" s="6"/>
      <c r="DI81" s="6"/>
      <c r="DJ81" s="6"/>
      <c r="DK81" s="6"/>
      <c r="EI81" s="6"/>
      <c r="EJ81" s="16"/>
      <c r="EK81" s="8"/>
      <c r="EL81" s="9"/>
      <c r="EM81" s="6"/>
      <c r="EN81" s="6"/>
      <c r="EO81" s="6"/>
      <c r="EP81" s="6"/>
      <c r="EQ81" s="6"/>
      <c r="ER81" s="6"/>
      <c r="ES81" s="6"/>
      <c r="FQ81" s="6"/>
      <c r="FR81" s="16"/>
      <c r="FS81" s="8"/>
      <c r="FT81" s="9"/>
      <c r="FU81" s="6"/>
      <c r="FV81" s="6"/>
      <c r="FW81" s="6"/>
      <c r="FX81" s="6"/>
      <c r="FY81" s="6"/>
      <c r="FZ81" s="6"/>
      <c r="GA81" s="6"/>
    </row>
    <row r="82" spans="1:183" x14ac:dyDescent="0.3">
      <c r="A82" s="6">
        <f t="shared" si="87"/>
        <v>6.5</v>
      </c>
      <c r="B82" s="16">
        <f t="shared" si="122"/>
        <v>390</v>
      </c>
      <c r="C82" s="8">
        <v>22.811249999999998</v>
      </c>
      <c r="D82" s="9">
        <f t="shared" si="88"/>
        <v>0.38018749999999996</v>
      </c>
      <c r="E82" s="6">
        <f t="shared" si="89"/>
        <v>13.151405556468848</v>
      </c>
      <c r="F82" s="6">
        <f t="shared" si="73"/>
        <v>17.74154656417187</v>
      </c>
      <c r="G82" s="6">
        <f t="shared" si="74"/>
        <v>5.7910984154160654E-4</v>
      </c>
      <c r="H82" s="6">
        <f t="shared" si="90"/>
        <v>2.2068525514310016E-3</v>
      </c>
      <c r="I82" s="6">
        <f t="shared" si="91"/>
        <v>18.780924309327276</v>
      </c>
      <c r="J82" s="6">
        <v>273.14999999999998</v>
      </c>
      <c r="K82" s="6">
        <f t="shared" si="92"/>
        <v>1.2897225516098096</v>
      </c>
      <c r="L82">
        <f t="shared" si="93"/>
        <v>17.176000000000002</v>
      </c>
      <c r="AJ82" s="6"/>
      <c r="AK82" s="16"/>
      <c r="AL82" s="8"/>
      <c r="AM82" s="9"/>
      <c r="AN82" s="6"/>
      <c r="AO82" s="6"/>
      <c r="AP82" s="6"/>
      <c r="AQ82" s="6"/>
      <c r="AR82" s="6"/>
      <c r="AS82" s="6"/>
      <c r="AT82" s="6"/>
      <c r="BR82" s="6"/>
      <c r="BS82" s="16"/>
      <c r="BT82" s="8"/>
      <c r="BU82" s="9"/>
      <c r="BV82" s="6"/>
      <c r="BW82" s="6"/>
      <c r="BX82" s="6"/>
      <c r="BY82" s="6"/>
      <c r="BZ82" s="6"/>
      <c r="CA82" s="6"/>
      <c r="CB82" s="6"/>
      <c r="DA82" s="6"/>
      <c r="DB82" s="16"/>
      <c r="DC82" s="8"/>
      <c r="DD82" s="9"/>
      <c r="DE82" s="6"/>
      <c r="DF82" s="6"/>
      <c r="DG82" s="6"/>
      <c r="DH82" s="6"/>
      <c r="DI82" s="6"/>
      <c r="DJ82" s="6"/>
      <c r="DK82" s="6"/>
      <c r="EI82" s="6"/>
      <c r="EJ82" s="16"/>
      <c r="EK82" s="8"/>
      <c r="EL82" s="9"/>
      <c r="EM82" s="6"/>
      <c r="EN82" s="6"/>
      <c r="EO82" s="6"/>
      <c r="EP82" s="6"/>
      <c r="EQ82" s="6"/>
      <c r="ER82" s="6"/>
      <c r="ES82" s="6"/>
      <c r="FQ82" s="6"/>
      <c r="FR82" s="16"/>
      <c r="FS82" s="8"/>
      <c r="FT82" s="9"/>
      <c r="FU82" s="6"/>
      <c r="FV82" s="6"/>
      <c r="FW82" s="6"/>
      <c r="FX82" s="6"/>
      <c r="FY82" s="6"/>
      <c r="FZ82" s="6"/>
      <c r="GA82" s="6"/>
    </row>
    <row r="83" spans="1:183" x14ac:dyDescent="0.3">
      <c r="A83" s="6">
        <f t="shared" si="87"/>
        <v>7</v>
      </c>
      <c r="B83" s="16">
        <f t="shared" si="122"/>
        <v>420</v>
      </c>
      <c r="C83" s="6">
        <v>21.506250000000001</v>
      </c>
      <c r="D83" s="9">
        <f t="shared" si="88"/>
        <v>0.35843750000000002</v>
      </c>
      <c r="E83" s="6">
        <f t="shared" si="89"/>
        <v>13.949433304272013</v>
      </c>
      <c r="F83" s="6">
        <f t="shared" si="73"/>
        <v>17.358534473531172</v>
      </c>
      <c r="G83" s="6">
        <f t="shared" si="74"/>
        <v>6.1425024692198643E-4</v>
      </c>
      <c r="H83" s="6">
        <f t="shared" si="90"/>
        <v>2.2068525514310016E-3</v>
      </c>
      <c r="I83" s="6">
        <f t="shared" si="91"/>
        <v>18.375473687654495</v>
      </c>
      <c r="J83" s="6">
        <v>273.14999999999998</v>
      </c>
      <c r="K83" s="6">
        <f t="shared" si="92"/>
        <v>1.2618794698890712</v>
      </c>
      <c r="L83">
        <f t="shared" si="93"/>
        <v>17.356000000000002</v>
      </c>
      <c r="AJ83" s="6"/>
      <c r="AK83" s="16"/>
      <c r="AL83" s="6"/>
      <c r="AM83" s="9"/>
      <c r="AN83" s="6"/>
      <c r="AO83" s="6"/>
      <c r="AP83" s="6"/>
      <c r="AQ83" s="6"/>
      <c r="AR83" s="6"/>
      <c r="AS83" s="6"/>
      <c r="AT83" s="6"/>
      <c r="BR83" s="6"/>
      <c r="BS83" s="16"/>
      <c r="BT83" s="6"/>
      <c r="BU83" s="9"/>
      <c r="BV83" s="6"/>
      <c r="BW83" s="6"/>
      <c r="BX83" s="6"/>
      <c r="BY83" s="6"/>
      <c r="BZ83" s="6"/>
      <c r="CA83" s="6"/>
      <c r="CB83" s="6"/>
      <c r="DA83" s="6"/>
      <c r="DB83" s="16"/>
      <c r="DC83" s="6"/>
      <c r="DD83" s="9"/>
      <c r="DE83" s="6"/>
      <c r="DF83" s="6"/>
      <c r="DG83" s="6"/>
      <c r="DH83" s="6"/>
      <c r="DI83" s="6"/>
      <c r="DJ83" s="6"/>
      <c r="DK83" s="6"/>
      <c r="EI83" s="6"/>
      <c r="EJ83" s="16"/>
      <c r="EK83" s="6"/>
      <c r="EL83" s="9"/>
      <c r="EM83" s="6"/>
      <c r="EN83" s="6"/>
      <c r="EO83" s="6"/>
      <c r="EP83" s="6"/>
      <c r="EQ83" s="6"/>
      <c r="ER83" s="6"/>
      <c r="ES83" s="6"/>
      <c r="FQ83" s="6"/>
      <c r="FR83" s="16"/>
      <c r="FS83" s="6"/>
      <c r="FT83" s="9"/>
      <c r="FU83" s="6"/>
      <c r="FV83" s="6"/>
      <c r="FW83" s="6"/>
      <c r="FX83" s="6"/>
      <c r="FY83" s="6"/>
      <c r="FZ83" s="6"/>
      <c r="GA83" s="6"/>
    </row>
    <row r="84" spans="1:183" x14ac:dyDescent="0.3">
      <c r="A84" s="6">
        <f t="shared" si="87"/>
        <v>7.5</v>
      </c>
      <c r="B84" s="16">
        <f t="shared" si="122"/>
        <v>450</v>
      </c>
      <c r="C84" s="6">
        <v>25.276999999999997</v>
      </c>
      <c r="D84" s="9">
        <f t="shared" si="88"/>
        <v>0.42128333333333329</v>
      </c>
      <c r="E84" s="6">
        <f t="shared" si="89"/>
        <v>11.868497052656567</v>
      </c>
      <c r="F84" s="6">
        <f t="shared" si="73"/>
        <v>18.357276367425609</v>
      </c>
      <c r="G84" s="6">
        <f t="shared" si="74"/>
        <v>5.2261816563935486E-4</v>
      </c>
      <c r="H84" s="6">
        <f t="shared" si="90"/>
        <v>2.2068525514310016E-3</v>
      </c>
      <c r="I84" s="6">
        <f t="shared" si="91"/>
        <v>19.432726269662474</v>
      </c>
      <c r="J84" s="6">
        <v>273.14999999999998</v>
      </c>
      <c r="K84" s="6">
        <f t="shared" si="92"/>
        <v>1.3344830582591174</v>
      </c>
      <c r="L84">
        <f t="shared" si="93"/>
        <v>17.536000000000001</v>
      </c>
      <c r="AJ84" s="6"/>
      <c r="AK84" s="16"/>
      <c r="AL84" s="6"/>
      <c r="AM84" s="9"/>
      <c r="AN84" s="6"/>
      <c r="AO84" s="6"/>
      <c r="AP84" s="6"/>
      <c r="AQ84" s="6"/>
      <c r="AR84" s="6"/>
      <c r="AS84" s="6"/>
      <c r="AT84" s="6"/>
      <c r="BR84" s="6"/>
      <c r="BS84" s="16"/>
      <c r="BT84" s="6"/>
      <c r="BU84" s="9"/>
      <c r="BV84" s="6"/>
      <c r="BW84" s="6"/>
      <c r="BX84" s="6"/>
      <c r="BY84" s="6"/>
      <c r="BZ84" s="6"/>
      <c r="CA84" s="6"/>
      <c r="CB84" s="6"/>
      <c r="DA84" s="6"/>
      <c r="DB84" s="16"/>
      <c r="DC84" s="6"/>
      <c r="DD84" s="9"/>
      <c r="DE84" s="6"/>
      <c r="DF84" s="6"/>
      <c r="DG84" s="6"/>
      <c r="DH84" s="6"/>
      <c r="DI84" s="6"/>
      <c r="DJ84" s="6"/>
      <c r="DK84" s="6"/>
      <c r="EI84" s="6"/>
      <c r="EJ84" s="16"/>
      <c r="EK84" s="6"/>
      <c r="EL84" s="9"/>
      <c r="EM84" s="6"/>
      <c r="EN84" s="6"/>
      <c r="EO84" s="6"/>
      <c r="EP84" s="6"/>
      <c r="EQ84" s="6"/>
      <c r="ER84" s="6"/>
      <c r="ES84" s="6"/>
      <c r="FQ84" s="6"/>
      <c r="FR84" s="16"/>
      <c r="FS84" s="6"/>
      <c r="FT84" s="9"/>
      <c r="FU84" s="6"/>
      <c r="FV84" s="6"/>
      <c r="FW84" s="6"/>
      <c r="FX84" s="6"/>
      <c r="FY84" s="6"/>
      <c r="FZ84" s="6"/>
      <c r="GA84" s="6"/>
    </row>
    <row r="85" spans="1:183" x14ac:dyDescent="0.3">
      <c r="A85" s="6">
        <f t="shared" si="87"/>
        <v>8</v>
      </c>
      <c r="B85" s="16">
        <f t="shared" si="122"/>
        <v>480</v>
      </c>
      <c r="C85" s="6">
        <v>0</v>
      </c>
      <c r="D85" s="9">
        <f t="shared" si="88"/>
        <v>0</v>
      </c>
      <c r="E85" s="6">
        <v>0</v>
      </c>
      <c r="F85" s="6">
        <f t="shared" si="73"/>
        <v>24.053541793552281</v>
      </c>
      <c r="G85" s="6">
        <f t="shared" si="74"/>
        <v>0</v>
      </c>
      <c r="H85" s="6">
        <f t="shared" si="90"/>
        <v>2.2068525514310016E-3</v>
      </c>
      <c r="I85" s="6">
        <f t="shared" si="91"/>
        <v>25.462703950974984</v>
      </c>
      <c r="J85" s="6">
        <v>273.14999999999998</v>
      </c>
      <c r="K85" s="6">
        <f t="shared" si="92"/>
        <v>1.7485733380133592</v>
      </c>
      <c r="L85">
        <f t="shared" si="93"/>
        <v>17.716000000000001</v>
      </c>
      <c r="AJ85" s="6"/>
      <c r="AK85" s="16"/>
      <c r="AL85" s="6"/>
      <c r="AM85" s="9"/>
      <c r="AN85" s="6"/>
      <c r="AO85" s="6"/>
      <c r="AP85" s="6"/>
      <c r="AQ85" s="6"/>
      <c r="AR85" s="6"/>
      <c r="AS85" s="6"/>
      <c r="AT85" s="6"/>
      <c r="BR85" s="6"/>
      <c r="BS85" s="16"/>
      <c r="BT85" s="6"/>
      <c r="BU85" s="9"/>
      <c r="BV85" s="6"/>
      <c r="BW85" s="6"/>
      <c r="BX85" s="6"/>
      <c r="BY85" s="6"/>
      <c r="BZ85" s="6"/>
      <c r="CA85" s="6"/>
      <c r="CB85" s="6"/>
      <c r="DA85" s="6"/>
      <c r="DB85" s="16"/>
      <c r="DC85" s="6"/>
      <c r="DD85" s="9"/>
      <c r="DE85" s="6"/>
      <c r="DF85" s="6"/>
      <c r="DG85" s="6"/>
      <c r="DH85" s="6"/>
      <c r="DI85" s="6"/>
      <c r="DJ85" s="6"/>
      <c r="DK85" s="6"/>
      <c r="EI85" s="6"/>
      <c r="EJ85" s="16"/>
      <c r="EK85" s="6"/>
      <c r="EL85" s="9"/>
      <c r="EM85" s="6"/>
      <c r="EN85" s="6"/>
      <c r="EO85" s="6"/>
      <c r="EP85" s="6"/>
      <c r="EQ85" s="6"/>
      <c r="ER85" s="6"/>
      <c r="ES85" s="6"/>
      <c r="FQ85" s="6"/>
      <c r="FR85" s="16"/>
      <c r="FS85" s="6"/>
      <c r="FT85" s="9"/>
      <c r="FU85" s="6"/>
      <c r="FV85" s="6"/>
      <c r="FW85" s="6"/>
      <c r="FX85" s="6"/>
      <c r="FY85" s="6"/>
      <c r="FZ85" s="6"/>
      <c r="GA85" s="6"/>
    </row>
    <row r="108" spans="15:27" x14ac:dyDescent="0.3">
      <c r="O108" s="6"/>
      <c r="P108" s="14" t="s">
        <v>221</v>
      </c>
      <c r="Q108" s="14" t="s">
        <v>222</v>
      </c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5:27" x14ac:dyDescent="0.3">
      <c r="O109" s="6"/>
      <c r="P109" s="5" t="s">
        <v>82</v>
      </c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5:27" x14ac:dyDescent="0.3">
      <c r="O110" s="5" t="s">
        <v>92</v>
      </c>
      <c r="P110" s="69">
        <v>1.6666666666666666E-2</v>
      </c>
      <c r="Q110" s="69">
        <v>0.5</v>
      </c>
      <c r="R110" s="69">
        <v>1</v>
      </c>
      <c r="S110" s="69">
        <v>1.5</v>
      </c>
      <c r="T110" s="69">
        <v>2</v>
      </c>
      <c r="U110" s="69">
        <v>2.5</v>
      </c>
      <c r="V110" s="69">
        <v>3</v>
      </c>
      <c r="W110" s="69">
        <v>4</v>
      </c>
      <c r="X110" s="69">
        <v>6</v>
      </c>
      <c r="Y110" s="69">
        <v>8</v>
      </c>
      <c r="Z110" s="69">
        <v>10</v>
      </c>
      <c r="AA110" s="69">
        <v>12</v>
      </c>
    </row>
    <row r="111" spans="15:27" x14ac:dyDescent="0.3">
      <c r="O111" s="50" t="s">
        <v>147</v>
      </c>
      <c r="P111" s="68">
        <v>1.0699097055127985E-2</v>
      </c>
      <c r="Q111" s="68">
        <v>3.7071638106582253E-3</v>
      </c>
      <c r="R111" s="68">
        <v>3.1588790839325752E-3</v>
      </c>
      <c r="S111" s="68">
        <v>4.6700980641243579E-3</v>
      </c>
      <c r="T111" s="68">
        <v>1.2373163505861887E-2</v>
      </c>
      <c r="U111" s="68">
        <v>5.4899551286463604E-3</v>
      </c>
      <c r="V111" s="68">
        <v>7.1580161986379972E-3</v>
      </c>
      <c r="W111" s="68">
        <v>2.5286158879300425E-3</v>
      </c>
      <c r="X111" s="68">
        <v>4.3421035680862637E-3</v>
      </c>
      <c r="Y111" s="68">
        <v>0</v>
      </c>
      <c r="Z111" s="68"/>
      <c r="AA111" s="68"/>
    </row>
    <row r="112" spans="15:27" x14ac:dyDescent="0.3">
      <c r="O112" s="50" t="s">
        <v>69</v>
      </c>
      <c r="P112" s="43">
        <v>1.5120728080362507E-2</v>
      </c>
      <c r="Q112" s="43">
        <v>6.1647678745770122E-3</v>
      </c>
      <c r="R112" s="43">
        <v>5.5150431552011825E-3</v>
      </c>
      <c r="S112" s="43">
        <v>3.7355106769575448E-3</v>
      </c>
      <c r="T112" s="43">
        <v>7.9826988127281936E-3</v>
      </c>
      <c r="U112" s="43">
        <v>5.7586380916798486E-3</v>
      </c>
      <c r="V112" s="43">
        <v>6.6086864769263953E-2</v>
      </c>
      <c r="W112" s="43"/>
      <c r="X112" s="43"/>
      <c r="Y112" s="43"/>
      <c r="Z112" s="43"/>
      <c r="AA112" s="43"/>
    </row>
    <row r="113" spans="1:51" x14ac:dyDescent="0.3">
      <c r="O113" s="50" t="s">
        <v>173</v>
      </c>
      <c r="P113" s="43">
        <v>5.4427418952027254E-2</v>
      </c>
      <c r="Q113" s="43">
        <v>2.1386083423861918E-2</v>
      </c>
      <c r="R113" s="43">
        <v>7.7985251125457844E-2</v>
      </c>
      <c r="S113" s="43">
        <v>2.3919327152992682E-2</v>
      </c>
      <c r="T113" s="43">
        <v>7.4306965159986374E-2</v>
      </c>
      <c r="U113" s="43">
        <v>5.1861845364470055E-2</v>
      </c>
      <c r="V113" s="43">
        <v>4.7638453620650285E-2</v>
      </c>
      <c r="W113" s="43">
        <v>4.5951125570174063E-2</v>
      </c>
      <c r="X113" s="43">
        <v>6.0905383592245899E-2</v>
      </c>
      <c r="Y113" s="43">
        <v>4.2520292445328005E-2</v>
      </c>
      <c r="Z113" s="43">
        <v>4.1068001392009452E-2</v>
      </c>
      <c r="AA113" s="43">
        <v>2.9704994406540928E-2</v>
      </c>
    </row>
    <row r="114" spans="1:51" x14ac:dyDescent="0.3">
      <c r="O114" s="50" t="s">
        <v>174</v>
      </c>
      <c r="P114" s="43">
        <v>0.2719981993790424</v>
      </c>
      <c r="Q114" s="43">
        <v>0.25219791990155543</v>
      </c>
      <c r="R114" s="43">
        <v>0.38936104592061549</v>
      </c>
      <c r="S114" s="43">
        <v>0.19900641375525585</v>
      </c>
      <c r="T114" s="43">
        <v>0.24587163033291634</v>
      </c>
      <c r="U114" s="43">
        <v>0.23810445704195873</v>
      </c>
      <c r="V114" s="43">
        <v>0.81925179986405816</v>
      </c>
      <c r="W114" s="43">
        <v>0.27840009135468541</v>
      </c>
      <c r="X114" s="43">
        <v>0.63014584838323728</v>
      </c>
      <c r="Y114" s="43">
        <v>0.23804983914892375</v>
      </c>
      <c r="Z114" s="43">
        <v>0.9380458304902809</v>
      </c>
      <c r="AA114" s="43">
        <v>0.20251443489268278</v>
      </c>
    </row>
    <row r="115" spans="1:51" x14ac:dyDescent="0.3">
      <c r="O115" s="50" t="s">
        <v>175</v>
      </c>
      <c r="P115" s="43">
        <v>1</v>
      </c>
      <c r="Q115" s="43">
        <v>0.43278431942361706</v>
      </c>
      <c r="R115" s="43">
        <v>1.7455278756079295</v>
      </c>
      <c r="S115" s="43">
        <v>0.86252586605230497</v>
      </c>
      <c r="T115" s="43">
        <v>1.1109594481744163</v>
      </c>
      <c r="U115" s="43">
        <v>0.93920494901683915</v>
      </c>
      <c r="V115" s="43">
        <v>1.3233878953935374</v>
      </c>
      <c r="W115" s="43">
        <v>1.3260571743152789</v>
      </c>
      <c r="X115" s="43">
        <v>1.1109081163407422</v>
      </c>
      <c r="Y115" s="43">
        <v>0.99013560247338361</v>
      </c>
      <c r="Z115" s="43">
        <v>0.42883525627916286</v>
      </c>
      <c r="AA115" s="43">
        <v>0.82047343752030133</v>
      </c>
    </row>
    <row r="117" spans="1:51" x14ac:dyDescent="0.3">
      <c r="AL117" s="97" t="s">
        <v>254</v>
      </c>
      <c r="AN117" s="97"/>
      <c r="AO117" s="97" t="s">
        <v>255</v>
      </c>
      <c r="AP117" s="97" t="s">
        <v>85</v>
      </c>
      <c r="AQ117" t="s">
        <v>271</v>
      </c>
      <c r="AR117" s="99" t="s">
        <v>254</v>
      </c>
      <c r="AS117" s="99"/>
      <c r="AT117" s="99"/>
      <c r="AU117" s="99"/>
    </row>
    <row r="118" spans="1:51" x14ac:dyDescent="0.3">
      <c r="AL118" s="97" t="s">
        <v>256</v>
      </c>
      <c r="AM118" t="s">
        <v>80</v>
      </c>
      <c r="AN118" s="97" t="s">
        <v>257</v>
      </c>
      <c r="AO118" s="97" t="s">
        <v>258</v>
      </c>
      <c r="AP118" s="97" t="s">
        <v>258</v>
      </c>
      <c r="AQ118" t="s">
        <v>260</v>
      </c>
      <c r="AR118" s="99" t="s">
        <v>259</v>
      </c>
      <c r="AS118" s="99" t="s">
        <v>260</v>
      </c>
      <c r="AT118" s="99"/>
      <c r="AU118" s="99" t="s">
        <v>261</v>
      </c>
      <c r="AW118" s="100" t="s">
        <v>252</v>
      </c>
      <c r="AY118" s="100" t="s">
        <v>262</v>
      </c>
    </row>
    <row r="119" spans="1:51" x14ac:dyDescent="0.3">
      <c r="AL119" s="97">
        <v>1.6666666666666666E-2</v>
      </c>
      <c r="AM119">
        <f>AN119/$AN$119</f>
        <v>1</v>
      </c>
      <c r="AN119" s="97">
        <v>10.916847872218638</v>
      </c>
      <c r="AO119" s="97">
        <v>0.22278114058848486</v>
      </c>
      <c r="AP119" s="97">
        <v>0</v>
      </c>
      <c r="AQ119">
        <v>0</v>
      </c>
      <c r="AR119" s="99">
        <v>3.7323031111666225E-3</v>
      </c>
      <c r="AS119" s="99">
        <v>7.616546038381927E-5</v>
      </c>
      <c r="AT119" s="99"/>
      <c r="AU119" s="99">
        <f>AR119*1.69*0.15*44.01</f>
        <v>4.1639570290339316E-2</v>
      </c>
      <c r="AW119">
        <f>AU119/0.15</f>
        <v>0.27759713526892876</v>
      </c>
      <c r="AY119">
        <v>0.02</v>
      </c>
    </row>
    <row r="120" spans="1:51" x14ac:dyDescent="0.3">
      <c r="AL120" s="97">
        <v>1</v>
      </c>
      <c r="AM120">
        <f t="shared" ref="AM120:AM132" si="123">AN120/$AN$119</f>
        <v>0.81599308105145418</v>
      </c>
      <c r="AN120" s="97">
        <v>8.9080723306216978</v>
      </c>
      <c r="AO120" s="97">
        <v>0.64770806697883931</v>
      </c>
      <c r="AP120" s="97">
        <v>0</v>
      </c>
      <c r="AQ120">
        <v>6.0818751347776388E-2</v>
      </c>
      <c r="AR120" s="99">
        <v>0.18341878050199467</v>
      </c>
      <c r="AS120" s="99">
        <v>1.3072447849888043E-2</v>
      </c>
      <c r="AT120" s="99"/>
      <c r="AU120" s="99">
        <f t="shared" ref="AU120:AU132" si="124">AR120*1.69*0.15*44.01</f>
        <v>2.0463180443278213</v>
      </c>
      <c r="AW120">
        <f t="shared" ref="AW120:AW132" si="125">AU120/0.15</f>
        <v>13.64212029551881</v>
      </c>
      <c r="AY120">
        <v>14.6</v>
      </c>
    </row>
    <row r="121" spans="1:51" x14ac:dyDescent="0.3">
      <c r="AL121" s="97">
        <v>2</v>
      </c>
      <c r="AM121">
        <f t="shared" si="123"/>
        <v>0.72021664588063727</v>
      </c>
      <c r="AN121" s="97">
        <v>7.8624955581184786</v>
      </c>
      <c r="AO121" s="97">
        <v>0.40686844387641602</v>
      </c>
      <c r="AP121" s="97">
        <v>0</v>
      </c>
      <c r="AQ121">
        <v>3.9378617214333056E-2</v>
      </c>
      <c r="AR121" s="99">
        <v>0.34470279019005218</v>
      </c>
      <c r="AS121" s="99">
        <v>2.1418167162242176E-2</v>
      </c>
      <c r="AT121" s="99"/>
      <c r="AU121" s="99">
        <f t="shared" si="124"/>
        <v>3.8456887433529729</v>
      </c>
      <c r="AW121">
        <f t="shared" si="125"/>
        <v>25.637924955686486</v>
      </c>
      <c r="AY121" s="28">
        <f>AW121</f>
        <v>25.637924955686486</v>
      </c>
    </row>
    <row r="122" spans="1:51" x14ac:dyDescent="0.3">
      <c r="AL122" s="97">
        <v>3</v>
      </c>
      <c r="AM122">
        <f t="shared" si="123"/>
        <v>0.64396330122480816</v>
      </c>
      <c r="AN122" s="97">
        <v>7.0300493947629361</v>
      </c>
      <c r="AO122" s="97">
        <v>0.11134349191251285</v>
      </c>
      <c r="AP122" s="97">
        <v>0</v>
      </c>
      <c r="AQ122">
        <v>2.3030790094804486E-2</v>
      </c>
      <c r="AR122" s="99">
        <v>0.48891076414836099</v>
      </c>
      <c r="AS122" s="99">
        <v>2.1933519581832022E-2</v>
      </c>
      <c r="AT122" s="99"/>
      <c r="AU122" s="99">
        <f t="shared" si="124"/>
        <v>5.4545500520979333</v>
      </c>
      <c r="AW122">
        <f t="shared" si="125"/>
        <v>36.363667013986223</v>
      </c>
      <c r="AY122" s="28">
        <f t="shared" ref="AY122:AY132" si="126">AW122</f>
        <v>36.363667013986223</v>
      </c>
    </row>
    <row r="123" spans="1:51" x14ac:dyDescent="0.3">
      <c r="AL123" s="97">
        <v>4</v>
      </c>
      <c r="AM123">
        <f t="shared" si="123"/>
        <v>0.57212572545168494</v>
      </c>
      <c r="AN123" s="97">
        <v>6.2458095085387715</v>
      </c>
      <c r="AO123" s="97">
        <v>0.27285997280017282</v>
      </c>
      <c r="AP123" s="97">
        <v>0</v>
      </c>
      <c r="AQ123">
        <v>1.0985106263293298E-2</v>
      </c>
      <c r="AR123" s="99">
        <v>0.63221970552846485</v>
      </c>
      <c r="AS123" s="99">
        <v>1.5846925769724685E-4</v>
      </c>
      <c r="AT123" s="99"/>
      <c r="AU123" s="99">
        <f t="shared" si="124"/>
        <v>7.0533812724180098</v>
      </c>
      <c r="AW123">
        <f t="shared" si="125"/>
        <v>47.022541816120068</v>
      </c>
      <c r="AY123" s="28">
        <f t="shared" si="126"/>
        <v>47.022541816120068</v>
      </c>
    </row>
    <row r="124" spans="1:51" x14ac:dyDescent="0.3">
      <c r="A124" s="70" t="s">
        <v>215</v>
      </c>
      <c r="B124" s="5" t="s">
        <v>82</v>
      </c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AL124" s="97">
        <v>5</v>
      </c>
      <c r="AM124">
        <f t="shared" si="123"/>
        <v>0.57213921011866997</v>
      </c>
      <c r="AN124" s="97">
        <v>6.2459567185968545</v>
      </c>
      <c r="AO124" s="97">
        <v>5.4571978013942424E-2</v>
      </c>
      <c r="AP124" s="97">
        <v>0</v>
      </c>
      <c r="AQ124">
        <v>1.8942122827814156E-2</v>
      </c>
      <c r="AR124" s="99">
        <v>0.76034352276524442</v>
      </c>
      <c r="AS124" s="99">
        <v>9.6097015764323723E-4</v>
      </c>
      <c r="AT124" s="99"/>
      <c r="AU124" s="99">
        <f t="shared" si="124"/>
        <v>8.482799123753745</v>
      </c>
      <c r="AW124">
        <f t="shared" si="125"/>
        <v>56.551994158358305</v>
      </c>
      <c r="AY124" s="28">
        <f t="shared" si="126"/>
        <v>56.551994158358305</v>
      </c>
    </row>
    <row r="125" spans="1:51" x14ac:dyDescent="0.3">
      <c r="A125" s="5" t="s">
        <v>246</v>
      </c>
      <c r="B125" s="71">
        <v>1.6666666666666666E-2</v>
      </c>
      <c r="C125" s="71">
        <v>0.5</v>
      </c>
      <c r="D125" s="71">
        <v>1</v>
      </c>
      <c r="E125" s="71">
        <v>1.5</v>
      </c>
      <c r="F125" s="71">
        <v>2</v>
      </c>
      <c r="G125" s="71">
        <v>2.5</v>
      </c>
      <c r="H125" s="71">
        <v>3</v>
      </c>
      <c r="I125" s="71">
        <v>4</v>
      </c>
      <c r="J125" s="71">
        <v>6</v>
      </c>
      <c r="K125" s="71">
        <v>8</v>
      </c>
      <c r="L125" s="71">
        <v>10</v>
      </c>
      <c r="M125" s="71">
        <v>12</v>
      </c>
      <c r="AL125" s="97">
        <v>6</v>
      </c>
      <c r="AM125">
        <f t="shared" si="123"/>
        <v>0.54962992606903793</v>
      </c>
      <c r="AN125" s="97">
        <v>6.0002262889144635</v>
      </c>
      <c r="AO125" s="97">
        <v>0.13656806826539247</v>
      </c>
      <c r="AP125" s="97">
        <v>0</v>
      </c>
      <c r="AQ125">
        <v>9.2314965285494877E-4</v>
      </c>
      <c r="AR125" s="99">
        <v>0.88342665174870949</v>
      </c>
      <c r="AS125" s="99">
        <v>1.8404617137492973E-3</v>
      </c>
      <c r="AT125" s="99"/>
      <c r="AU125" s="99">
        <f t="shared" si="124"/>
        <v>9.8559803601672868</v>
      </c>
      <c r="AW125">
        <f t="shared" si="125"/>
        <v>65.706535734448579</v>
      </c>
      <c r="AY125" s="28">
        <f t="shared" si="126"/>
        <v>65.706535734448579</v>
      </c>
    </row>
    <row r="126" spans="1:51" x14ac:dyDescent="0.3">
      <c r="A126" s="50">
        <v>3</v>
      </c>
      <c r="B126" s="52">
        <v>1</v>
      </c>
      <c r="C126" s="52">
        <v>1.04391716072581</v>
      </c>
      <c r="D126" s="52">
        <v>1.0492134218144626</v>
      </c>
      <c r="E126" s="52">
        <v>1.0599528561994938</v>
      </c>
      <c r="F126" s="52">
        <v>1.0824969002424341</v>
      </c>
      <c r="G126" s="52">
        <v>1.0680381313958143</v>
      </c>
      <c r="H126" s="52">
        <v>1.0877367947868251</v>
      </c>
      <c r="I126" s="52">
        <v>1.1810020772082279</v>
      </c>
      <c r="J126" s="52">
        <v>1.1824857230134691</v>
      </c>
      <c r="K126" s="52">
        <v>1.7485733380133592</v>
      </c>
      <c r="L126" s="52">
        <v>0</v>
      </c>
      <c r="M126" s="52"/>
      <c r="AL126" s="97">
        <v>7</v>
      </c>
      <c r="AM126">
        <f t="shared" si="123"/>
        <v>0.56713977122640835</v>
      </c>
      <c r="AN126" s="97">
        <v>6.1913786047635808</v>
      </c>
      <c r="AO126" s="97">
        <v>5.4584247583628454E-2</v>
      </c>
      <c r="AP126" s="97">
        <v>0</v>
      </c>
      <c r="AQ126">
        <v>1.8821309405207876E-2</v>
      </c>
      <c r="AR126" s="99">
        <v>1.0104309037055885</v>
      </c>
      <c r="AS126" s="99">
        <v>7.2077061172981516E-4</v>
      </c>
      <c r="AT126" s="99"/>
      <c r="AU126" s="99">
        <f t="shared" si="124"/>
        <v>11.272907742273025</v>
      </c>
      <c r="AW126">
        <f t="shared" si="125"/>
        <v>75.152718281820171</v>
      </c>
      <c r="AY126" s="28">
        <f t="shared" si="126"/>
        <v>75.152718281820171</v>
      </c>
    </row>
    <row r="127" spans="1:51" x14ac:dyDescent="0.3">
      <c r="A127" s="50">
        <v>2.2999999999999998</v>
      </c>
      <c r="B127" s="52">
        <v>1</v>
      </c>
      <c r="C127" s="52">
        <v>1.0290295519867041</v>
      </c>
      <c r="D127" s="52">
        <v>1.0278284915278741</v>
      </c>
      <c r="E127" s="52">
        <v>1.053724176125922</v>
      </c>
      <c r="F127" s="52">
        <v>1.0881916344467251</v>
      </c>
      <c r="G127" s="52">
        <v>1.1638888588826144</v>
      </c>
      <c r="H127" s="52">
        <v>1.2885193510994428</v>
      </c>
      <c r="I127" s="52"/>
      <c r="J127" s="52"/>
      <c r="K127" s="52"/>
      <c r="L127" s="52">
        <v>0</v>
      </c>
      <c r="M127" s="52"/>
      <c r="AL127" s="97">
        <v>8</v>
      </c>
      <c r="AM127">
        <f t="shared" si="123"/>
        <v>0.55712402244285386</v>
      </c>
      <c r="AN127" s="97">
        <v>6.0820381989671581</v>
      </c>
      <c r="AO127" s="97">
        <v>0.27304407854183443</v>
      </c>
      <c r="AP127" s="97">
        <v>0</v>
      </c>
      <c r="AQ127">
        <v>1.1367820447103327E-2</v>
      </c>
      <c r="AR127" s="99">
        <v>1.1351922470417362</v>
      </c>
      <c r="AS127" s="99">
        <v>6.3217459615139138E-3</v>
      </c>
      <c r="AT127" s="99"/>
      <c r="AU127" s="99">
        <f t="shared" si="124"/>
        <v>12.664812035849774</v>
      </c>
      <c r="AW127">
        <f t="shared" si="125"/>
        <v>84.432080238998495</v>
      </c>
      <c r="AY127" s="28">
        <f t="shared" si="126"/>
        <v>84.432080238998495</v>
      </c>
    </row>
    <row r="128" spans="1:51" x14ac:dyDescent="0.3">
      <c r="A128" s="50">
        <v>0.6</v>
      </c>
      <c r="B128" s="52">
        <v>1</v>
      </c>
      <c r="C128" s="52">
        <v>1.0730934760321977</v>
      </c>
      <c r="D128" s="52">
        <v>1.0710214977024914</v>
      </c>
      <c r="E128" s="52">
        <v>1.0690697900781969</v>
      </c>
      <c r="F128" s="52">
        <v>1.1046815234354606</v>
      </c>
      <c r="G128" s="52">
        <v>1.1162791349839258</v>
      </c>
      <c r="H128" s="52">
        <v>1.1277749515449547</v>
      </c>
      <c r="I128" s="52">
        <v>1.1280948658610832</v>
      </c>
      <c r="J128" s="52">
        <v>1.1828721779101159</v>
      </c>
      <c r="K128" s="52">
        <v>1.2035661695567892</v>
      </c>
      <c r="L128" s="52">
        <v>1.2099884002431005</v>
      </c>
      <c r="M128" s="52">
        <v>1.2222166811955335</v>
      </c>
      <c r="AL128" s="97">
        <v>9</v>
      </c>
      <c r="AM128">
        <f t="shared" si="123"/>
        <v>0.57212572545168494</v>
      </c>
      <c r="AN128" s="97">
        <v>6.2458095085387715</v>
      </c>
      <c r="AO128" s="97">
        <v>0.27285997280017282</v>
      </c>
      <c r="AP128" s="97">
        <v>0</v>
      </c>
      <c r="AQ128">
        <v>3.8893063263926109E-2</v>
      </c>
      <c r="AR128" s="99">
        <v>1.2633130445466434</v>
      </c>
      <c r="AS128" s="99">
        <v>7.2454718775483151E-4</v>
      </c>
      <c r="AT128" s="99"/>
      <c r="AU128" s="99">
        <f t="shared" si="124"/>
        <v>14.094196197441187</v>
      </c>
      <c r="AW128">
        <f t="shared" si="125"/>
        <v>93.96130798294125</v>
      </c>
      <c r="AY128" s="28">
        <f t="shared" si="126"/>
        <v>93.96130798294125</v>
      </c>
    </row>
    <row r="129" spans="1:202" x14ac:dyDescent="0.3">
      <c r="A129" s="50">
        <v>0.06</v>
      </c>
      <c r="B129" s="52">
        <v>1</v>
      </c>
      <c r="C129" s="52">
        <v>1.2633172625858451</v>
      </c>
      <c r="D129" s="52">
        <v>1.300991814509624</v>
      </c>
      <c r="E129" s="52">
        <v>1.3121799337028037</v>
      </c>
      <c r="F129" s="52">
        <v>1.3362087544723527</v>
      </c>
      <c r="G129" s="52">
        <v>1.3605666277253721</v>
      </c>
      <c r="H129" s="52">
        <v>1.4396825750600155</v>
      </c>
      <c r="I129" s="52">
        <v>1.4524337645390069</v>
      </c>
      <c r="J129" s="52">
        <v>1.4815698800877235</v>
      </c>
      <c r="K129" s="52">
        <v>1.4876152809321359</v>
      </c>
      <c r="L129" s="52">
        <v>1.6001815894218803</v>
      </c>
      <c r="M129" s="52">
        <v>1.7236216480397981</v>
      </c>
      <c r="AL129" s="97">
        <v>10</v>
      </c>
      <c r="AM129">
        <f t="shared" si="123"/>
        <v>0.57213471523058068</v>
      </c>
      <c r="AN129" s="97">
        <v>6.245907648587381</v>
      </c>
      <c r="AO129" s="97">
        <v>0.16371595058807653</v>
      </c>
      <c r="AP129" s="97">
        <v>0</v>
      </c>
      <c r="AQ129">
        <v>1.0092500752081901E-3</v>
      </c>
      <c r="AR129" s="99">
        <v>1.3914358552063348</v>
      </c>
      <c r="AS129" s="99">
        <v>4.0828657731908358E-3</v>
      </c>
      <c r="AT129" s="99"/>
      <c r="AU129" s="99">
        <f t="shared" si="124"/>
        <v>15.523602818864404</v>
      </c>
      <c r="AW129">
        <f t="shared" si="125"/>
        <v>103.49068545909603</v>
      </c>
      <c r="AY129" s="28">
        <f t="shared" si="126"/>
        <v>103.49068545909603</v>
      </c>
    </row>
    <row r="130" spans="1:202" x14ac:dyDescent="0.3">
      <c r="A130" s="50">
        <v>6.0000000000000001E-3</v>
      </c>
      <c r="B130" s="52">
        <v>1</v>
      </c>
      <c r="C130" s="52">
        <v>1.5254275706114193</v>
      </c>
      <c r="D130" s="52">
        <v>1.9109122758924526</v>
      </c>
      <c r="E130" s="52">
        <v>1.9888816918269103</v>
      </c>
      <c r="F130" s="52">
        <v>2.0129590365532692</v>
      </c>
      <c r="G130" s="52">
        <v>2.0167320561724611</v>
      </c>
      <c r="H130" s="52">
        <v>2.4118014983075753</v>
      </c>
      <c r="I130" s="52">
        <v>2.3584391968342393</v>
      </c>
      <c r="J130" s="52">
        <v>2.7981187673814025</v>
      </c>
      <c r="K130" s="52">
        <v>2.8150949009357373</v>
      </c>
      <c r="L130" s="52">
        <v>2.8032211489582912</v>
      </c>
      <c r="M130" s="52">
        <v>3.7981496274143578</v>
      </c>
      <c r="AL130" s="97">
        <v>11</v>
      </c>
      <c r="AM130">
        <f t="shared" si="123"/>
        <v>8.8114198593005142</v>
      </c>
      <c r="AN130" s="97">
        <v>96.192930142229869</v>
      </c>
      <c r="AO130" s="97">
        <v>0.7</v>
      </c>
      <c r="AP130" s="97">
        <v>0</v>
      </c>
      <c r="AQ130">
        <v>6.2871310014545601E-3</v>
      </c>
      <c r="AR130" s="99">
        <v>1.5236426640384244</v>
      </c>
      <c r="AS130" s="99">
        <v>0</v>
      </c>
      <c r="AT130" s="99"/>
      <c r="AU130" s="99">
        <f t="shared" si="124"/>
        <v>16.998572708837923</v>
      </c>
      <c r="AW130">
        <f t="shared" si="125"/>
        <v>113.32381805891949</v>
      </c>
      <c r="AY130" s="28">
        <f t="shared" si="126"/>
        <v>113.32381805891949</v>
      </c>
    </row>
    <row r="131" spans="1:202" x14ac:dyDescent="0.3">
      <c r="AL131" s="97">
        <v>13</v>
      </c>
      <c r="AM131">
        <f t="shared" si="123"/>
        <v>4.4605965577610647</v>
      </c>
      <c r="AN131" s="97">
        <v>48.695654040419655</v>
      </c>
      <c r="AO131" s="97">
        <v>0.7</v>
      </c>
      <c r="AP131" s="97">
        <v>0</v>
      </c>
      <c r="AQ131">
        <v>6.2871310014545601E-3</v>
      </c>
      <c r="AR131" s="99">
        <v>1.6103025174331873</v>
      </c>
      <c r="AS131" s="99">
        <v>1.2000815869225192E-2</v>
      </c>
      <c r="AT131" s="99"/>
      <c r="AU131" s="99">
        <f t="shared" si="124"/>
        <v>17.96539639633146</v>
      </c>
      <c r="AW131">
        <f t="shared" si="125"/>
        <v>119.7693093088764</v>
      </c>
      <c r="AY131" s="28">
        <f t="shared" si="126"/>
        <v>119.7693093088764</v>
      </c>
    </row>
    <row r="132" spans="1:202" x14ac:dyDescent="0.3">
      <c r="C132" s="23">
        <v>42513</v>
      </c>
      <c r="E132" s="23"/>
      <c r="AL132" s="97">
        <v>21</v>
      </c>
      <c r="AM132">
        <f t="shared" si="123"/>
        <v>3.2984511132478538</v>
      </c>
      <c r="AN132" s="97">
        <v>36.008689017277028</v>
      </c>
      <c r="AO132" s="97">
        <v>0.7</v>
      </c>
      <c r="AP132" s="97">
        <v>0</v>
      </c>
      <c r="AQ132">
        <v>6.2871310014545601E-3</v>
      </c>
      <c r="AR132" s="99">
        <v>1.69696237082795</v>
      </c>
      <c r="AS132" s="99">
        <v>0</v>
      </c>
      <c r="AT132" s="99"/>
      <c r="AU132" s="99">
        <f t="shared" si="124"/>
        <v>18.932220083825001</v>
      </c>
      <c r="AW132">
        <f t="shared" si="125"/>
        <v>126.21480055883335</v>
      </c>
      <c r="AY132" s="28">
        <f t="shared" si="126"/>
        <v>126.21480055883335</v>
      </c>
      <c r="BT132" s="23">
        <v>42523</v>
      </c>
      <c r="BV132" s="23"/>
      <c r="DC132" s="23">
        <v>42529</v>
      </c>
      <c r="DE132" s="23"/>
      <c r="EK132" s="23">
        <v>42535</v>
      </c>
      <c r="EM132" s="23"/>
      <c r="FS132" s="23">
        <v>42537</v>
      </c>
      <c r="FU132" s="23"/>
    </row>
    <row r="133" spans="1:202" x14ac:dyDescent="0.3">
      <c r="C133" s="12" t="s">
        <v>51</v>
      </c>
      <c r="D133" s="6"/>
      <c r="E133" s="6"/>
      <c r="F133" s="6"/>
      <c r="G133" s="6"/>
      <c r="H133" s="6"/>
      <c r="I133" s="6" t="s">
        <v>56</v>
      </c>
      <c r="J133" s="6"/>
      <c r="K133" s="6"/>
      <c r="N133" s="12" t="s">
        <v>51</v>
      </c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F133" t="s">
        <v>280</v>
      </c>
      <c r="BT133" s="12" t="s">
        <v>70</v>
      </c>
      <c r="BU133" s="12" t="s">
        <v>231</v>
      </c>
      <c r="BV133" s="6"/>
      <c r="BW133" s="6"/>
      <c r="BX133" s="6"/>
      <c r="BY133" s="6"/>
      <c r="BZ133" s="6" t="s">
        <v>56</v>
      </c>
      <c r="CA133" s="6"/>
      <c r="CB133" s="6"/>
      <c r="CE133" s="12" t="s">
        <v>70</v>
      </c>
      <c r="CF133" s="12" t="s">
        <v>231</v>
      </c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W133" t="s">
        <v>280</v>
      </c>
      <c r="DC133" s="12" t="s">
        <v>57</v>
      </c>
      <c r="DD133" s="12"/>
      <c r="DE133" s="6"/>
      <c r="DF133" s="6"/>
      <c r="DG133" s="6"/>
      <c r="DH133" s="6"/>
      <c r="DI133" s="6" t="s">
        <v>56</v>
      </c>
      <c r="DJ133" s="6"/>
      <c r="DK133" s="6"/>
      <c r="DN133" s="12" t="s">
        <v>57</v>
      </c>
      <c r="DO133" s="12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F133" t="s">
        <v>280</v>
      </c>
      <c r="EK133" s="12" t="s">
        <v>90</v>
      </c>
      <c r="EL133" s="12"/>
      <c r="EM133" s="6"/>
      <c r="EN133" s="6"/>
      <c r="EO133" s="6"/>
      <c r="EP133" s="6"/>
      <c r="EQ133" s="6" t="s">
        <v>56</v>
      </c>
      <c r="ER133" s="6"/>
      <c r="ES133" s="6"/>
      <c r="EV133" s="12" t="s">
        <v>90</v>
      </c>
      <c r="EW133" s="12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S133" s="12" t="s">
        <v>91</v>
      </c>
      <c r="FT133" s="12"/>
      <c r="FU133" s="6"/>
      <c r="FV133" s="6"/>
      <c r="FW133" s="6"/>
      <c r="FX133" s="6"/>
      <c r="FY133" s="6" t="s">
        <v>56</v>
      </c>
      <c r="FZ133" s="6"/>
      <c r="GA133" s="6"/>
      <c r="GD133" s="12" t="s">
        <v>91</v>
      </c>
      <c r="GE133" s="12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</row>
    <row r="134" spans="1:202" ht="16.2" x14ac:dyDescent="0.3">
      <c r="A134" s="5" t="s">
        <v>188</v>
      </c>
      <c r="B134" s="5" t="s">
        <v>187</v>
      </c>
      <c r="C134" s="5" t="s">
        <v>217</v>
      </c>
      <c r="D134" s="5" t="s">
        <v>54</v>
      </c>
      <c r="E134" s="6"/>
      <c r="F134" s="6"/>
      <c r="G134" s="6" t="s">
        <v>55</v>
      </c>
      <c r="H134" s="6" t="s">
        <v>13</v>
      </c>
      <c r="I134" s="7" t="s">
        <v>13</v>
      </c>
      <c r="J134" s="5" t="s">
        <v>53</v>
      </c>
      <c r="K134" s="5" t="s">
        <v>225</v>
      </c>
      <c r="N134" s="41" t="s">
        <v>52</v>
      </c>
      <c r="O134" s="42"/>
      <c r="P134" s="42"/>
      <c r="Q134" s="40"/>
      <c r="R134" s="6"/>
      <c r="S134" s="41" t="s">
        <v>54</v>
      </c>
      <c r="T134" s="42"/>
      <c r="U134" s="40"/>
      <c r="V134" s="6"/>
      <c r="W134" s="6"/>
      <c r="X134" s="5" t="s">
        <v>53</v>
      </c>
      <c r="Y134" s="6"/>
      <c r="Z134" s="6"/>
      <c r="AA134" s="6"/>
      <c r="AB134" s="6"/>
      <c r="AC134" s="46" t="s">
        <v>162</v>
      </c>
      <c r="AD134" s="5" t="s">
        <v>228</v>
      </c>
      <c r="AF134" t="s">
        <v>259</v>
      </c>
      <c r="AI134" t="s">
        <v>281</v>
      </c>
      <c r="BR134" s="5" t="s">
        <v>188</v>
      </c>
      <c r="BS134" s="5" t="s">
        <v>187</v>
      </c>
      <c r="BT134" s="5" t="s">
        <v>217</v>
      </c>
      <c r="BU134" s="5" t="s">
        <v>54</v>
      </c>
      <c r="BV134" s="6"/>
      <c r="BW134" s="6"/>
      <c r="BX134" s="6" t="s">
        <v>55</v>
      </c>
      <c r="BY134" s="6" t="s">
        <v>13</v>
      </c>
      <c r="BZ134" s="7" t="s">
        <v>13</v>
      </c>
      <c r="CA134" s="5" t="s">
        <v>53</v>
      </c>
      <c r="CB134" s="5" t="s">
        <v>225</v>
      </c>
      <c r="CE134" s="41" t="s">
        <v>52</v>
      </c>
      <c r="CF134" s="42"/>
      <c r="CG134" s="42"/>
      <c r="CH134" s="40"/>
      <c r="CI134" s="6"/>
      <c r="CJ134" s="41" t="s">
        <v>54</v>
      </c>
      <c r="CK134" s="42"/>
      <c r="CL134" s="40"/>
      <c r="CM134" s="6"/>
      <c r="CN134" s="6"/>
      <c r="CO134" s="5" t="s">
        <v>53</v>
      </c>
      <c r="CP134" s="6"/>
      <c r="CQ134" s="6"/>
      <c r="CR134" s="6"/>
      <c r="CS134" s="6"/>
      <c r="CT134" s="46" t="s">
        <v>162</v>
      </c>
      <c r="CU134" s="5" t="s">
        <v>228</v>
      </c>
      <c r="CW134" t="s">
        <v>259</v>
      </c>
      <c r="CY134" t="s">
        <v>281</v>
      </c>
      <c r="DA134" s="5" t="s">
        <v>188</v>
      </c>
      <c r="DB134" s="5" t="s">
        <v>187</v>
      </c>
      <c r="DC134" s="5" t="s">
        <v>217</v>
      </c>
      <c r="DD134" s="5" t="s">
        <v>54</v>
      </c>
      <c r="DE134" s="6"/>
      <c r="DF134" s="6"/>
      <c r="DG134" s="6" t="s">
        <v>55</v>
      </c>
      <c r="DH134" s="6" t="s">
        <v>13</v>
      </c>
      <c r="DI134" s="7" t="s">
        <v>13</v>
      </c>
      <c r="DJ134" s="5" t="s">
        <v>53</v>
      </c>
      <c r="DK134" s="5" t="s">
        <v>225</v>
      </c>
      <c r="DN134" s="41" t="s">
        <v>52</v>
      </c>
      <c r="DO134" s="42"/>
      <c r="DP134" s="42"/>
      <c r="DQ134" s="40"/>
      <c r="DR134" s="6"/>
      <c r="DS134" s="41" t="s">
        <v>54</v>
      </c>
      <c r="DT134" s="42"/>
      <c r="DU134" s="40"/>
      <c r="DV134" s="6"/>
      <c r="DW134" s="6"/>
      <c r="DX134" s="5" t="s">
        <v>53</v>
      </c>
      <c r="DY134" s="6"/>
      <c r="DZ134" s="6"/>
      <c r="EA134" s="6"/>
      <c r="EB134" s="6"/>
      <c r="EC134" s="46" t="s">
        <v>162</v>
      </c>
      <c r="ED134" s="5" t="s">
        <v>228</v>
      </c>
      <c r="EF134" t="s">
        <v>259</v>
      </c>
      <c r="EH134" t="s">
        <v>281</v>
      </c>
      <c r="EI134" s="5" t="s">
        <v>188</v>
      </c>
      <c r="EJ134" s="5" t="s">
        <v>187</v>
      </c>
      <c r="EK134" s="5" t="s">
        <v>217</v>
      </c>
      <c r="EL134" s="5" t="s">
        <v>54</v>
      </c>
      <c r="EM134" s="6"/>
      <c r="EN134" s="6"/>
      <c r="EO134" s="6" t="s">
        <v>55</v>
      </c>
      <c r="EP134" s="6" t="s">
        <v>13</v>
      </c>
      <c r="EQ134" s="7" t="s">
        <v>13</v>
      </c>
      <c r="ER134" s="5" t="s">
        <v>53</v>
      </c>
      <c r="ES134" s="5" t="s">
        <v>225</v>
      </c>
      <c r="EV134" s="41" t="s">
        <v>52</v>
      </c>
      <c r="EW134" s="42"/>
      <c r="EX134" s="42"/>
      <c r="EY134" s="40"/>
      <c r="EZ134" s="6"/>
      <c r="FA134" s="41" t="s">
        <v>54</v>
      </c>
      <c r="FB134" s="42"/>
      <c r="FC134" s="40"/>
      <c r="FD134" s="6"/>
      <c r="FE134" s="6"/>
      <c r="FF134" s="5" t="s">
        <v>53</v>
      </c>
      <c r="FG134" s="6"/>
      <c r="FH134" s="6"/>
      <c r="FI134" s="6"/>
      <c r="FJ134" s="6"/>
      <c r="FK134" s="46" t="s">
        <v>162</v>
      </c>
      <c r="FL134" s="5" t="s">
        <v>228</v>
      </c>
      <c r="FQ134" s="5" t="s">
        <v>188</v>
      </c>
      <c r="FR134" s="5" t="s">
        <v>187</v>
      </c>
      <c r="FS134" s="5" t="s">
        <v>217</v>
      </c>
      <c r="FT134" s="5" t="s">
        <v>54</v>
      </c>
      <c r="FU134" s="6"/>
      <c r="FV134" s="6"/>
      <c r="FW134" s="6" t="s">
        <v>55</v>
      </c>
      <c r="FX134" s="6" t="s">
        <v>13</v>
      </c>
      <c r="FY134" s="7" t="s">
        <v>13</v>
      </c>
      <c r="FZ134" s="5" t="s">
        <v>53</v>
      </c>
      <c r="GA134" s="5" t="s">
        <v>225</v>
      </c>
      <c r="GD134" s="41" t="s">
        <v>52</v>
      </c>
      <c r="GE134" s="42"/>
      <c r="GF134" s="42"/>
      <c r="GG134" s="40"/>
      <c r="GH134" s="6"/>
      <c r="GI134" s="41" t="s">
        <v>54</v>
      </c>
      <c r="GJ134" s="42"/>
      <c r="GK134" s="40"/>
      <c r="GL134" s="6"/>
      <c r="GM134" s="6"/>
      <c r="GN134" s="5" t="s">
        <v>53</v>
      </c>
      <c r="GO134" s="6"/>
      <c r="GP134" s="6"/>
      <c r="GQ134" s="6"/>
      <c r="GR134" s="6"/>
      <c r="GS134" s="46" t="s">
        <v>162</v>
      </c>
      <c r="GT134" s="5" t="s">
        <v>228</v>
      </c>
    </row>
    <row r="135" spans="1:202" x14ac:dyDescent="0.3">
      <c r="A135" s="8">
        <f>$B$153*B135</f>
        <v>5.5544470842055327E-2</v>
      </c>
      <c r="B135" s="67">
        <f t="shared" ref="B135:B151" si="127">C135*$L$26</f>
        <v>1.2620874992514276E-3</v>
      </c>
      <c r="C135" s="9">
        <f>D135*(10^-3)*$B$35*I135/(L26)</f>
        <v>121443.2040949465</v>
      </c>
      <c r="D135" s="8">
        <v>14.561987991824479</v>
      </c>
      <c r="E135" s="6"/>
      <c r="F135" s="6">
        <f>G135/60</f>
        <v>1.6666666666666666E-2</v>
      </c>
      <c r="G135" s="6">
        <v>1</v>
      </c>
      <c r="H135" s="6">
        <f>G135*60</f>
        <v>60</v>
      </c>
      <c r="I135" s="6">
        <f>H135</f>
        <v>60</v>
      </c>
      <c r="J135" s="6">
        <f>C135/(2.32)</f>
        <v>52346.208661614874</v>
      </c>
      <c r="K135" s="6">
        <f>J135/100000</f>
        <v>0.52346208661614868</v>
      </c>
      <c r="N135" s="73">
        <f>S135*(10^-3)*$B$35*$I$135/$L$26</f>
        <v>119524.81823791796</v>
      </c>
      <c r="O135" s="73">
        <f>T135*(10^-3)*$B$35*$I$135/$L$26</f>
        <v>123169.87156588728</v>
      </c>
      <c r="P135" s="73">
        <f>U135*(10^-3)*$B$35*$I$135/$L$26</f>
        <v>119829.59912129397</v>
      </c>
      <c r="Q135" s="73">
        <f>V135*(10^-3)*$B$35*$I$135/$L$26</f>
        <v>121123.1025355445</v>
      </c>
      <c r="R135" s="73">
        <f>W135*(10^-3)*$B$35*$I$135/$L$26</f>
        <v>121415.47630278589</v>
      </c>
      <c r="S135" s="44">
        <v>14.331958555250202</v>
      </c>
      <c r="T135" s="44">
        <v>14.769028897613293</v>
      </c>
      <c r="U135" s="44">
        <v>14.36850416187294</v>
      </c>
      <c r="V135" s="44">
        <v>14.523605316573814</v>
      </c>
      <c r="W135" s="44">
        <v>14.558663213138903</v>
      </c>
      <c r="X135" s="45">
        <f>N135/2.32</f>
        <v>51519.318205999123</v>
      </c>
      <c r="Y135" s="45">
        <f t="shared" ref="Y135:AB141" si="128">O135/2.32</f>
        <v>53090.461881847972</v>
      </c>
      <c r="Z135" s="45">
        <f t="shared" si="128"/>
        <v>51650.68927641982</v>
      </c>
      <c r="AA135" s="45">
        <f t="shared" si="128"/>
        <v>52208.233851527802</v>
      </c>
      <c r="AB135" s="45">
        <f t="shared" si="128"/>
        <v>52334.257027062886</v>
      </c>
      <c r="AC135" s="7">
        <f>_xlfn.STDEV.P(X135:AB135)</f>
        <v>560.05716693860177</v>
      </c>
      <c r="AD135" s="7">
        <f>AC135/100000</f>
        <v>5.6005716693860175E-3</v>
      </c>
      <c r="AF135" s="11">
        <f>X135*$L$26/$S$156</f>
        <v>2.451510294270902E-4</v>
      </c>
      <c r="AG135" s="11">
        <f>Y135*$L$26/$S$156</f>
        <v>2.5262720541164267E-4</v>
      </c>
      <c r="AI135">
        <f>_xlfn.STDEV.P(AF135:AG135)</f>
        <v>3.7380879922762364E-6</v>
      </c>
      <c r="BR135" s="8">
        <f>$B$153*BS135</f>
        <v>4.2611083001830322E-2</v>
      </c>
      <c r="BS135" s="67">
        <f>BT135*$CC$26</f>
        <v>9.6821365602886436E-4</v>
      </c>
      <c r="BT135" s="9">
        <f>BU135*(10^-3)*$BS$35*BZ135/(CC26)</f>
        <v>93165.464919325168</v>
      </c>
      <c r="BU135" s="8">
        <v>11.171266367011242</v>
      </c>
      <c r="BV135" s="6"/>
      <c r="BW135" s="6">
        <f>BX135/60</f>
        <v>1.6666666666666666E-2</v>
      </c>
      <c r="BX135" s="6">
        <v>1</v>
      </c>
      <c r="BY135" s="6">
        <f>BX135*60</f>
        <v>60</v>
      </c>
      <c r="BZ135" s="6">
        <f>BY135</f>
        <v>60</v>
      </c>
      <c r="CA135" s="6">
        <f>BT135/(2.32)</f>
        <v>40157.527982467749</v>
      </c>
      <c r="CB135" s="6">
        <f>CA135/100000</f>
        <v>0.4015752798246775</v>
      </c>
      <c r="CE135" s="73">
        <f>CJ135*(10^-3)*$BS$35*$BZ$135/$CC$26</f>
        <v>90951.038349780865</v>
      </c>
      <c r="CF135" s="73">
        <f>CK135*(10^-3)*$BS$35*$BZ$135/$CC$26</f>
        <v>91462.180846302086</v>
      </c>
      <c r="CG135" s="73">
        <f>CL135*(10^-3)*$BS$35*$BZ$135/$CC$26</f>
        <v>92270.308326203536</v>
      </c>
      <c r="CH135" s="73">
        <f>CM135*(10^-3)*$BS$35*$BZ$135/$CC$26</f>
        <v>94529.309896473205</v>
      </c>
      <c r="CI135" s="73">
        <f>CN135*(10^-3)*$BS$35*$BZ$135/$CC$26</f>
        <v>94046.15758185774</v>
      </c>
      <c r="CJ135" s="44">
        <v>10.905739338514278</v>
      </c>
      <c r="CK135" s="44">
        <v>10.96702931313183</v>
      </c>
      <c r="CL135" s="44">
        <v>11.063930105118409</v>
      </c>
      <c r="CM135" s="44">
        <v>11.334802024094307</v>
      </c>
      <c r="CN135" s="44">
        <v>11.276868290740632</v>
      </c>
      <c r="CO135" s="45">
        <f>CE135/2.32</f>
        <v>39203.033771457274</v>
      </c>
      <c r="CP135" s="45">
        <f t="shared" ref="CP135:CP141" si="129">CF135/2.32</f>
        <v>39423.353813061243</v>
      </c>
      <c r="CQ135" s="45">
        <f t="shared" ref="CQ135:CQ141" si="130">CG135/2.32</f>
        <v>39771.684623363595</v>
      </c>
      <c r="CR135" s="45">
        <f t="shared" ref="CR135:CR141" si="131">CH135/2.32</f>
        <v>40745.392196755696</v>
      </c>
      <c r="CS135" s="45">
        <f t="shared" ref="CS135:CS141" si="132">CI135/2.32</f>
        <v>40537.136888731788</v>
      </c>
      <c r="CT135" s="7">
        <f>_xlfn.STDEV.P(CO135:CS135)</f>
        <v>607.21106100244253</v>
      </c>
      <c r="CU135" s="7">
        <f>CT135/100000</f>
        <v>6.0721106100244254E-3</v>
      </c>
      <c r="CW135" s="11">
        <f>CO135*$L$26/$S$157</f>
        <v>4.9745296433257159E-4</v>
      </c>
      <c r="CX135" s="11">
        <f>CP135*$L$26/$S$157</f>
        <v>5.002486371990314E-4</v>
      </c>
      <c r="CY135">
        <f t="shared" ref="CY135:CY141" si="133">_xlfn.STDEV.P(CW135:CX135)</f>
        <v>1.3978364332299024E-6</v>
      </c>
      <c r="DA135" s="8">
        <f>$B$153*DB135</f>
        <v>1.0353691752635752E-2</v>
      </c>
      <c r="DB135" s="67">
        <f t="shared" ref="DB135:DB146" si="134">DC135*$CC$26</f>
        <v>2.3525770853523637E-4</v>
      </c>
      <c r="DC135" s="9">
        <f>DD135*(10^-3)*$DB$35*DI135/(DL26)</f>
        <v>22637.455746530984</v>
      </c>
      <c r="DD135" s="8">
        <v>2.7144076212672936</v>
      </c>
      <c r="DE135" s="6"/>
      <c r="DF135" s="6">
        <f>DG135/60</f>
        <v>1.6666666666666666E-2</v>
      </c>
      <c r="DG135" s="6">
        <v>1</v>
      </c>
      <c r="DH135" s="6">
        <f>DG135*60</f>
        <v>60</v>
      </c>
      <c r="DI135" s="6">
        <f>DH135</f>
        <v>60</v>
      </c>
      <c r="DJ135" s="6">
        <f>DC135/(2.32)</f>
        <v>9757.5240286771495</v>
      </c>
      <c r="DK135" s="6">
        <f>DJ135/100000</f>
        <v>9.7575240286771489E-2</v>
      </c>
      <c r="DN135" s="73">
        <f>DS135*(10^-3)*$DB$35*$DI$135/$DL$26</f>
        <v>22904.948237587803</v>
      </c>
      <c r="DO135" s="73">
        <f>DT135*(10^-3)*$DB$35*$DI$135/$DL$26</f>
        <v>20742.311976558791</v>
      </c>
      <c r="DP135" s="73">
        <f>DU135*(10^-3)*$DB$35*$DI$135/$DL$26</f>
        <v>20468.290538325207</v>
      </c>
      <c r="DQ135" s="73">
        <f>DV135*(10^-3)*$DB$35*$DI$135/$DL$26</f>
        <v>22904.948237587803</v>
      </c>
      <c r="DR135" s="73">
        <f>DW135*(10^-3)*$DB$35*$DI$135/$DL$26</f>
        <v>23437.537764557648</v>
      </c>
      <c r="DS135" s="44">
        <v>2.7464820586283771</v>
      </c>
      <c r="DT135" s="44">
        <v>2.4871650923272619</v>
      </c>
      <c r="DU135" s="44">
        <v>2.4543077832435838</v>
      </c>
      <c r="DV135" s="44">
        <v>2.7464820586283771</v>
      </c>
      <c r="DW135" s="44">
        <v>2.810343699583131</v>
      </c>
      <c r="DX135" s="45">
        <f>DN135/2.32</f>
        <v>9872.8225162016406</v>
      </c>
      <c r="DY135" s="45">
        <f t="shared" ref="DY135:DY141" si="135">DO135/2.32</f>
        <v>8940.651714033962</v>
      </c>
      <c r="DZ135" s="45">
        <f t="shared" ref="DZ135:DZ141" si="136">DP135/2.32</f>
        <v>8822.5390251401768</v>
      </c>
      <c r="EA135" s="45">
        <f t="shared" ref="EA135:EA141" si="137">DQ135/2.32</f>
        <v>9872.8225162016406</v>
      </c>
      <c r="EB135" s="45">
        <f t="shared" ref="EB135:EB141" si="138">DR135/2.32</f>
        <v>10102.386967481745</v>
      </c>
      <c r="EC135" s="7">
        <f>_xlfn.STDEV.P(DX135:EB135)</f>
        <v>531.07684824328396</v>
      </c>
      <c r="ED135" s="7">
        <f>EC135/100000</f>
        <v>5.3107684824328398E-3</v>
      </c>
      <c r="EF135" s="11">
        <f>DX135*$L$26/$S$158</f>
        <v>3.1319418132568293E-5</v>
      </c>
      <c r="EG135" s="11">
        <f>DY135*$L$26/$S$158</f>
        <v>2.8362305607132835E-5</v>
      </c>
      <c r="EH135">
        <f t="shared" ref="EH135:EH141" si="139">_xlfn.STDEV.P(EF135:EG135)</f>
        <v>1.4785562627177288E-6</v>
      </c>
      <c r="EI135" s="8">
        <f>$B$153*EJ135</f>
        <v>1.7946690585276467E-3</v>
      </c>
      <c r="EJ135" s="67">
        <f>EK135*$ET$26</f>
        <v>4.0778665269885182E-5</v>
      </c>
      <c r="EK135" s="9">
        <f>EL135*(10^-3)*$EJ$35*EQ135/(ET26)</f>
        <v>3923.8894070557617</v>
      </c>
      <c r="EL135" s="8">
        <v>0.47050496446158047</v>
      </c>
      <c r="EM135" s="6"/>
      <c r="EN135" s="6">
        <f>EO135/60</f>
        <v>1.6666666666666666E-2</v>
      </c>
      <c r="EO135" s="6">
        <v>1</v>
      </c>
      <c r="EP135" s="6">
        <f>EO135*60</f>
        <v>60</v>
      </c>
      <c r="EQ135" s="6">
        <f>EP135</f>
        <v>60</v>
      </c>
      <c r="ER135" s="6">
        <f>EK135/(2.32)</f>
        <v>1691.3316409723111</v>
      </c>
      <c r="ES135" s="6">
        <f>ER135/100000</f>
        <v>1.6913316409723111E-2</v>
      </c>
      <c r="EV135" s="73">
        <f>FA135*(10^-3)*$EJ$35*$EQ$135/$ET$26</f>
        <v>4138.535705106463</v>
      </c>
      <c r="EW135" s="73">
        <f>FB135*(10^-3)*$EJ$35*$EQ$135/$ET$26</f>
        <v>2517.0617952486105</v>
      </c>
      <c r="EX135" s="73">
        <f>FC135*(10^-3)*$EJ$35*$EQ$135/$ET$26</f>
        <v>4459.6196476525947</v>
      </c>
      <c r="EY135" s="73">
        <f>FD135*(10^-3)*$EJ$35*$EQ$135/$ET$26</f>
        <v>5416.5446980978568</v>
      </c>
      <c r="EZ135" s="73">
        <f>FE135*(10^-3)*$EJ$35*$EQ$135/$ET$26</f>
        <v>2843.5149451534639</v>
      </c>
      <c r="FA135" s="44">
        <v>0.4962427308355653</v>
      </c>
      <c r="FB135" s="44">
        <v>0.30181535401877335</v>
      </c>
      <c r="FC135" s="44">
        <v>0.53474320149235843</v>
      </c>
      <c r="FD135" s="44">
        <v>0.64948598349904463</v>
      </c>
      <c r="FE135" s="44">
        <v>0.3409596345426234</v>
      </c>
      <c r="FF135" s="45">
        <f>EV135/2.32</f>
        <v>1783.851597028648</v>
      </c>
      <c r="FG135" s="45">
        <f t="shared" ref="FG135:FG146" si="140">EW135/2.32</f>
        <v>1084.9404289864701</v>
      </c>
      <c r="FH135" s="45">
        <f t="shared" ref="FH135:FH146" si="141">EX135/2.32</f>
        <v>1922.2498481261186</v>
      </c>
      <c r="FI135" s="45">
        <f t="shared" ref="FI135:FI146" si="142">EY135/2.32</f>
        <v>2334.7175422835589</v>
      </c>
      <c r="FJ135" s="45">
        <f t="shared" ref="FJ135:FJ146" si="143">EZ135/2.32</f>
        <v>1225.6529936006311</v>
      </c>
      <c r="FK135" s="7">
        <f>_xlfn.STDEV.P(FF135:FJ135)</f>
        <v>460.0391608972696</v>
      </c>
      <c r="FL135" s="7">
        <f>FK135/100000</f>
        <v>4.6003916089726957E-3</v>
      </c>
      <c r="FQ135" s="8">
        <f>$B$153*FR135</f>
        <v>8.8543429638314518E-4</v>
      </c>
      <c r="FR135" s="67">
        <f>FS135*$GB$26</f>
        <v>2.0118934250923544E-5</v>
      </c>
      <c r="FS135" s="9">
        <f>FT135*(10^-3)*$FR$35*FY135/(GB26)</f>
        <v>1935.9258687348527</v>
      </c>
      <c r="FT135" s="8">
        <v>0.232132620871392</v>
      </c>
      <c r="FU135" s="6"/>
      <c r="FV135" s="6">
        <f>FW135/60</f>
        <v>1.6666666666666666E-2</v>
      </c>
      <c r="FW135" s="6">
        <v>1</v>
      </c>
      <c r="FX135" s="6">
        <f>FW135*60</f>
        <v>60</v>
      </c>
      <c r="FY135" s="6">
        <f>FX135</f>
        <v>60</v>
      </c>
      <c r="FZ135" s="6">
        <f>FS135/(2.32)</f>
        <v>834.45080548916064</v>
      </c>
      <c r="GA135" s="6">
        <f>FZ135/100000</f>
        <v>8.3445080548916056E-3</v>
      </c>
      <c r="GD135" s="73">
        <f>GI135*(10^-3)*$FR$35*$FY$135/$GB$26</f>
        <v>-223.67792132008717</v>
      </c>
      <c r="GE135" s="73">
        <f>GJ135*(10^-3)*$FR$35*$FY$135/$GB$26</f>
        <v>5327.1339422426772</v>
      </c>
      <c r="GF135" s="73">
        <f>GK135*(10^-3)*$FR$35*$FY$135/$GB$26</f>
        <v>7212.9764806812718</v>
      </c>
      <c r="GG135" s="73">
        <f>GL135*(10^-3)*$FR$35*$FY$135/$GB$26</f>
        <v>-897.74460624721667</v>
      </c>
      <c r="GH135" s="73">
        <f>GM135*(10^-3)*$FR$35*$FY$135/$GB$26</f>
        <v>-1576.396778826949</v>
      </c>
      <c r="GI135" s="44">
        <v>-2.6820728492578598E-2</v>
      </c>
      <c r="GJ135" s="44">
        <v>0.63876493605298779</v>
      </c>
      <c r="GK135" s="44">
        <v>0.86489217473935043</v>
      </c>
      <c r="GL135" s="44">
        <v>-0.10764658486510695</v>
      </c>
      <c r="GM135" s="44">
        <v>-0.18902227699527605</v>
      </c>
      <c r="GN135" s="45">
        <f>GD135/2.32</f>
        <v>-96.412897120727237</v>
      </c>
      <c r="GO135" s="45">
        <f t="shared" ref="GO135:GO146" si="144">GE135/2.32</f>
        <v>2296.1784233804647</v>
      </c>
      <c r="GP135" s="45">
        <f t="shared" ref="GP135:GP146" si="145">GF135/2.32</f>
        <v>3109.0415865005484</v>
      </c>
      <c r="GQ135" s="45">
        <f t="shared" ref="GQ135:GQ146" si="146">GG135/2.32</f>
        <v>-386.95888200311066</v>
      </c>
      <c r="GR135" s="45">
        <f t="shared" ref="GR135:GR146" si="147">GH135/2.32</f>
        <v>-679.48137018402974</v>
      </c>
      <c r="GS135" s="7">
        <f>_xlfn.STDEV.P(GN135:GR135)</f>
        <v>1546.5941405662618</v>
      </c>
      <c r="GT135" s="7">
        <f>GS135/100000</f>
        <v>1.5465941405662618E-2</v>
      </c>
    </row>
    <row r="136" spans="1:202" x14ac:dyDescent="0.3">
      <c r="A136" s="8">
        <f t="shared" ref="A136:A151" si="148">$B$153*B136</f>
        <v>1.7370754334102776</v>
      </c>
      <c r="B136" s="67">
        <f t="shared" si="127"/>
        <v>3.9470016664627988E-2</v>
      </c>
      <c r="C136" s="9">
        <f t="shared" ref="C136:C151" si="149">(D136*(10^-3)*$B$35*I136/($L$26))+C135</f>
        <v>3797965.9035339537</v>
      </c>
      <c r="D136" s="6">
        <v>15.201509158948751</v>
      </c>
      <c r="E136" s="6"/>
      <c r="F136" s="6">
        <f t="shared" ref="F136:F151" si="150">G136/60</f>
        <v>0.5</v>
      </c>
      <c r="G136" s="6">
        <v>30</v>
      </c>
      <c r="H136" s="6">
        <f t="shared" ref="H136:H151" si="151">G136*60</f>
        <v>1800</v>
      </c>
      <c r="I136" s="6">
        <f>H136-H135</f>
        <v>1740</v>
      </c>
      <c r="J136" s="6">
        <f t="shared" ref="J136:J151" si="152">C136/2.32</f>
        <v>1637054.2687646353</v>
      </c>
      <c r="K136" s="6">
        <f t="shared" ref="K136:K151" si="153">J136/100000</f>
        <v>16.370542687646353</v>
      </c>
      <c r="N136" s="73">
        <f>(S136*(10^-3)*$B$35*$I$136/$L$26)+N135</f>
        <v>3793676.2642315803</v>
      </c>
      <c r="O136" s="73">
        <f>(T136*(10^-3)*$B$35*$I$136/$L$26)+O135</f>
        <v>3790173.8227346633</v>
      </c>
      <c r="P136" s="73">
        <f>(U136*(10^-3)*$B$35*$I$136/$L$26)+P135</f>
        <v>3782040.2412235094</v>
      </c>
      <c r="Q136" s="73">
        <f>(V136*(10^-3)*$B$35*$I$136/$L$26)+Q135</f>
        <v>3818737.9144945345</v>
      </c>
      <c r="R136" s="73">
        <f>(W136*(10^-3)*$B$35*$I$136/$L$26)+R135</f>
        <v>3808539.9330031583</v>
      </c>
      <c r="S136" s="44">
        <v>15.191704614297604</v>
      </c>
      <c r="T136" s="44">
        <v>15.162151496602826</v>
      </c>
      <c r="U136" s="44">
        <v>15.142332352908129</v>
      </c>
      <c r="V136" s="44">
        <v>15.288719810933307</v>
      </c>
      <c r="W136" s="44">
        <v>15.245344794761412</v>
      </c>
      <c r="X136" s="45">
        <f t="shared" ref="X136:X141" si="154">N136/2.32</f>
        <v>1635205.2863067158</v>
      </c>
      <c r="Y136" s="45">
        <f t="shared" si="128"/>
        <v>1633695.6132476998</v>
      </c>
      <c r="Z136" s="45">
        <f t="shared" si="128"/>
        <v>1630189.7591480645</v>
      </c>
      <c r="AA136" s="45">
        <f t="shared" si="128"/>
        <v>1646007.7217648856</v>
      </c>
      <c r="AB136" s="45">
        <f t="shared" si="128"/>
        <v>1641612.0400875683</v>
      </c>
      <c r="AC136" s="7">
        <f t="shared" ref="AC136:AC151" si="155">_xlfn.STDEV.P(X136:AB136)</f>
        <v>5698.1436798134919</v>
      </c>
      <c r="AD136" s="7">
        <f t="shared" ref="AD136:AD151" si="156">AC136/100000</f>
        <v>5.6981436798134916E-2</v>
      </c>
      <c r="AF136" s="11">
        <f t="shared" ref="AF136:AF151" si="157">X136*$L$26/$S$156</f>
        <v>7.7810086239850891E-3</v>
      </c>
      <c r="AG136" s="11">
        <f t="shared" ref="AG136:AG151" si="158">Y136*$L$26/$S$156</f>
        <v>7.7738249515801805E-3</v>
      </c>
      <c r="AI136">
        <f t="shared" ref="AI136:AI151" si="159">_xlfn.STDEV.P(AF136:AG136)</f>
        <v>3.591836202454339E-6</v>
      </c>
      <c r="BR136" s="8">
        <f t="shared" ref="BR136:BR141" si="160">$B$153*BS136</f>
        <v>1.3142049288820399</v>
      </c>
      <c r="BS136" s="67">
        <f t="shared" ref="BS136:BS141" si="161">BT136*$CC$26</f>
        <v>2.9861507132061801E-2</v>
      </c>
      <c r="BT136" s="9">
        <f t="shared" ref="BT136:BT141" si="162">(BU136*(10^-3)*$BS$35*BZ136/($CC$26))+BT135</f>
        <v>2873395.9470897438</v>
      </c>
      <c r="BU136" s="6">
        <v>11.495563224769713</v>
      </c>
      <c r="BV136" s="6"/>
      <c r="BW136" s="6">
        <f t="shared" ref="BW136:BW141" si="163">BX136/60</f>
        <v>0.5</v>
      </c>
      <c r="BX136" s="6">
        <v>30</v>
      </c>
      <c r="BY136" s="6">
        <f t="shared" ref="BY136:BY141" si="164">BX136*60</f>
        <v>1800</v>
      </c>
      <c r="BZ136" s="6">
        <f t="shared" ref="BZ136:BZ141" si="165">BY136-BY135</f>
        <v>1740</v>
      </c>
      <c r="CA136" s="6">
        <f t="shared" ref="CA136:CA141" si="166">BT136/2.32</f>
        <v>1238532.7358145448</v>
      </c>
      <c r="CB136" s="6">
        <f t="shared" ref="CB136:CB141" si="167">CA136/100000</f>
        <v>12.385327358145448</v>
      </c>
      <c r="CE136" s="73">
        <f>(CJ136*(10^-3)*$BS$35*BZ136/$CC$26)+CE135</f>
        <v>2879236.0451695039</v>
      </c>
      <c r="CF136" s="73">
        <f>(CK136*(10^-3)*$BS$35*$BZ$136/$CC$26)+CF135</f>
        <v>2855455.4249969064</v>
      </c>
      <c r="CG136" s="73">
        <f>(CL136*(10^-3)*$BS$35*$BZ$136/$CC$26)+CG135</f>
        <v>2885901.4882494039</v>
      </c>
      <c r="CH136" s="73">
        <f>(CM136*(10^-3)*$BS$35*$BZ$136/$CC$26)+CH135</f>
        <v>2866662.650885053</v>
      </c>
      <c r="CI136" s="73">
        <f>(CN136*(10^-3)*$BS$35*$BZ$136/$CC$26)+CI135</f>
        <v>2841628.966507101</v>
      </c>
      <c r="CJ136" s="44">
        <v>11.528866685740065</v>
      </c>
      <c r="CK136" s="44">
        <v>11.428426274272464</v>
      </c>
      <c r="CL136" s="44">
        <v>11.550971785053131</v>
      </c>
      <c r="CM136" s="44">
        <v>11.462083555011164</v>
      </c>
      <c r="CN136" s="44">
        <v>11.360573196303239</v>
      </c>
      <c r="CO136" s="45">
        <f t="shared" ref="CO136:CO141" si="168">CE136/2.32</f>
        <v>1241050.0194696139</v>
      </c>
      <c r="CP136" s="45">
        <f t="shared" si="129"/>
        <v>1230799.752153839</v>
      </c>
      <c r="CQ136" s="45">
        <f t="shared" si="130"/>
        <v>1243923.0552799155</v>
      </c>
      <c r="CR136" s="45">
        <f t="shared" si="131"/>
        <v>1235630.4529676954</v>
      </c>
      <c r="CS136" s="45">
        <f t="shared" si="132"/>
        <v>1224840.0717703023</v>
      </c>
      <c r="CT136" s="7">
        <f t="shared" ref="CT136:CT141" si="169">_xlfn.STDEV.P(CO136:CS136)</f>
        <v>6887.3530619038584</v>
      </c>
      <c r="CU136" s="7">
        <f t="shared" ref="CU136:CU141" si="170">CT136/100000</f>
        <v>6.8873530619038587E-2</v>
      </c>
      <c r="CW136" s="11">
        <f t="shared" ref="CW136:CW141" si="171">CO136*$L$26/$S$157</f>
        <v>1.5747863154398068E-2</v>
      </c>
      <c r="CX136" s="11">
        <f t="shared" ref="CX136:CX141" si="172">CP136*$L$26/$S$157</f>
        <v>1.5617796030227032E-2</v>
      </c>
      <c r="CY136">
        <f t="shared" si="133"/>
        <v>6.5033562085517818E-5</v>
      </c>
      <c r="DA136" s="8">
        <f t="shared" ref="DA136:DA141" si="173">$B$153*DB136</f>
        <v>0.33255758485808784</v>
      </c>
      <c r="DB136" s="67">
        <f t="shared" si="134"/>
        <v>7.5564095627831821E-3</v>
      </c>
      <c r="DC136" s="9">
        <f>(DD136*(10^-3)*$DB$35*DI136/($DL$26))+DC135</f>
        <v>727108.53193806042</v>
      </c>
      <c r="DD136" s="6">
        <v>2.9128131096740093</v>
      </c>
      <c r="DE136" s="6"/>
      <c r="DF136" s="6">
        <f t="shared" ref="DF136:DF146" si="174">DG136/60</f>
        <v>0.5</v>
      </c>
      <c r="DG136" s="6">
        <v>30</v>
      </c>
      <c r="DH136" s="6">
        <f t="shared" ref="DH136:DH146" si="175">DG136*60</f>
        <v>1800</v>
      </c>
      <c r="DI136" s="6">
        <f>DH136-DH135</f>
        <v>1740</v>
      </c>
      <c r="DJ136" s="6">
        <f t="shared" ref="DJ136:DJ146" si="176">DC136/2.32</f>
        <v>313408.84997330193</v>
      </c>
      <c r="DK136" s="6">
        <f t="shared" ref="DK136:DK146" si="177">DJ136/100000</f>
        <v>3.1340884997330192</v>
      </c>
      <c r="DN136" s="73">
        <f>(DS136*(10^-3)*$DB$35*$DI$136/$DL$26)+DN135</f>
        <v>705856.64304318256</v>
      </c>
      <c r="DO136" s="73">
        <f>(DT136*(10^-3)*$DB$35*$DI$136/$DL$26)+DO135</f>
        <v>718902.96735261637</v>
      </c>
      <c r="DP136" s="73">
        <f>(DU136*(10^-3)*$DB$35*$DI$136/$DL$26)+DP135</f>
        <v>711035.78182005149</v>
      </c>
      <c r="DQ136" s="73">
        <f>(DV136*(10^-3)*$DB$35*$DI$136/$DL$26)+DQ135</f>
        <v>736184.43701035751</v>
      </c>
      <c r="DR136" s="73">
        <f>(DW136*(10^-3)*$DB$35*$DI$136/$DL$26)+DR135</f>
        <v>744242.89552844188</v>
      </c>
      <c r="DS136" s="44">
        <v>2.8238358069408824</v>
      </c>
      <c r="DT136" s="44">
        <v>2.8867210853169034</v>
      </c>
      <c r="DU136" s="44">
        <v>2.8553252357705396</v>
      </c>
      <c r="DV136" s="44">
        <v>2.9492337101914368</v>
      </c>
      <c r="DW136" s="44">
        <v>2.9803513111829751</v>
      </c>
      <c r="DX136" s="45">
        <f t="shared" ref="DX136:DX141" si="178">DN136/2.32</f>
        <v>304248.55303585459</v>
      </c>
      <c r="DY136" s="45">
        <f t="shared" si="135"/>
        <v>309871.96868647257</v>
      </c>
      <c r="DZ136" s="45">
        <f t="shared" si="136"/>
        <v>306480.94043967739</v>
      </c>
      <c r="EA136" s="45">
        <f t="shared" si="137"/>
        <v>317320.87802170584</v>
      </c>
      <c r="EB136" s="45">
        <f t="shared" si="138"/>
        <v>320794.35152088013</v>
      </c>
      <c r="EC136" s="7">
        <f t="shared" ref="EC136:EC141" si="179">_xlfn.STDEV.P(DX136:EB136)</f>
        <v>6330.8206624128306</v>
      </c>
      <c r="ED136" s="7">
        <f t="shared" ref="ED136:ED141" si="180">EC136/100000</f>
        <v>6.330820662412831E-2</v>
      </c>
      <c r="EF136" s="11">
        <f t="shared" ref="EF136:EF141" si="181">DX136*$L$26/$S$158</f>
        <v>9.6516347104605384E-4</v>
      </c>
      <c r="EG136" s="11">
        <f t="shared" ref="EG136:EG141" si="182">DY136*$L$26/$S$158</f>
        <v>9.8300255463191913E-4</v>
      </c>
      <c r="EH136">
        <f t="shared" si="139"/>
        <v>8.9195417929326484E-6</v>
      </c>
      <c r="EI136" s="8">
        <f t="shared" ref="EI136:EI146" si="183">$B$153*EJ136</f>
        <v>6.7544524724260868E-2</v>
      </c>
      <c r="EJ136" s="67">
        <f t="shared" ref="EJ136:EJ146" si="184">EK136*$ET$26</f>
        <v>1.5347540269089041E-3</v>
      </c>
      <c r="EK136" s="9">
        <f>(EL136*(10^-3)*$EJ$35*EQ136/($ET$26))+EK135</f>
        <v>147680.28891498287</v>
      </c>
      <c r="EL136" s="6">
        <v>0.59439704373665414</v>
      </c>
      <c r="EM136" s="6"/>
      <c r="EN136" s="6">
        <f t="shared" ref="EN136:EN146" si="185">EO136/60</f>
        <v>0.5</v>
      </c>
      <c r="EO136" s="6">
        <v>30</v>
      </c>
      <c r="EP136" s="6">
        <f t="shared" ref="EP136:EP146" si="186">EO136*60</f>
        <v>1800</v>
      </c>
      <c r="EQ136" s="6">
        <f>EP136-EP135</f>
        <v>1740</v>
      </c>
      <c r="ER136" s="6">
        <f t="shared" ref="ER136:ER146" si="187">EK136/2.32</f>
        <v>63655.296946113311</v>
      </c>
      <c r="ES136" s="6">
        <f t="shared" ref="ES136:ES146" si="188">ER136/100000</f>
        <v>0.63655296946113316</v>
      </c>
      <c r="EV136" s="73">
        <f>(FA136*(10^-3)*$EJ$35*$EQ$136/$ET$26)+EV135</f>
        <v>187392.35165459829</v>
      </c>
      <c r="EW136" s="73">
        <f>(FB136*(10^-3)*$EJ$35*$EQ$136/$ET$26)+EW135</f>
        <v>167611.0315472678</v>
      </c>
      <c r="EX136" s="73">
        <f>(FC136*(10^-3)*$EJ$35*$EQ$136/$ET$26)+EX135</f>
        <v>132874.29608993029</v>
      </c>
      <c r="EY136" s="73">
        <f>(FD136*(10^-3)*$EJ$35*$EQ$136/$ET$26)+EY135</f>
        <v>152231.19558029572</v>
      </c>
      <c r="EZ136" s="73">
        <f>(FE136*(10^-3)*$EJ$35*$EQ$136/$ET$26)+EZ135</f>
        <v>103429.37432406987</v>
      </c>
      <c r="FA136" s="44">
        <v>0.75770906079094191</v>
      </c>
      <c r="FB136" s="44">
        <v>0.68262260250847184</v>
      </c>
      <c r="FC136" s="44">
        <v>0.53096282538350459</v>
      </c>
      <c r="FD136" s="44">
        <v>0.60704215436889331</v>
      </c>
      <c r="FE136" s="44">
        <v>0.41589757159466045</v>
      </c>
      <c r="FF136" s="45">
        <f t="shared" ref="FF136:FF146" si="189">EV136/2.32</f>
        <v>80772.565368361335</v>
      </c>
      <c r="FG136" s="45">
        <f t="shared" si="140"/>
        <v>72246.134287615438</v>
      </c>
      <c r="FH136" s="45">
        <f t="shared" si="141"/>
        <v>57273.403487038922</v>
      </c>
      <c r="FI136" s="45">
        <f t="shared" si="142"/>
        <v>65616.894646679197</v>
      </c>
      <c r="FJ136" s="45">
        <f t="shared" si="143"/>
        <v>44581.626863823221</v>
      </c>
      <c r="FK136" s="7">
        <f t="shared" ref="FK136:FK146" si="190">_xlfn.STDEV.P(FF136:FJ136)</f>
        <v>12443.505948225727</v>
      </c>
      <c r="FL136" s="7">
        <f t="shared" ref="FL136:FL146" si="191">FK136/100000</f>
        <v>0.12443505948225728</v>
      </c>
      <c r="FQ136" s="8">
        <f t="shared" ref="FQ136:FQ146" si="192">$B$153*FR136</f>
        <v>4.0054745038748549E-2</v>
      </c>
      <c r="FR136" s="67">
        <f t="shared" ref="FR136:FR146" si="193">FS136*$GB$26</f>
        <v>9.1012826718356169E-4</v>
      </c>
      <c r="FS136" s="9">
        <f>(FT136*(10^-3)*$FR$35*FY136/($GB$26))+FS135</f>
        <v>87576.25201874708</v>
      </c>
      <c r="FT136" s="6">
        <v>0.35410149991550915</v>
      </c>
      <c r="FU136" s="6"/>
      <c r="FV136" s="6">
        <f t="shared" ref="FV136:FV146" si="194">FW136/60</f>
        <v>0.5</v>
      </c>
      <c r="FW136" s="6">
        <v>30</v>
      </c>
      <c r="FX136" s="6">
        <f t="shared" ref="FX136:FX146" si="195">FW136*60</f>
        <v>1800</v>
      </c>
      <c r="FY136" s="6">
        <f>FX136-FX135</f>
        <v>1740</v>
      </c>
      <c r="FZ136" s="6">
        <f t="shared" ref="FZ136:FZ146" si="196">FS136/2.32</f>
        <v>37748.384490839264</v>
      </c>
      <c r="GA136" s="6">
        <f t="shared" ref="GA136:GA146" si="197">FZ136/100000</f>
        <v>0.37748384490839265</v>
      </c>
      <c r="GD136" s="73">
        <f>(GI136*(10^-3)*$FR$35*$FY$136/$GB$26)+GD135</f>
        <v>88539.335975190043</v>
      </c>
      <c r="GE136" s="73">
        <f>(GJ136*(10^-3)*$FR$35*$FY$136/$GB$26)+GE135</f>
        <v>75301.976563991571</v>
      </c>
      <c r="GF136" s="73">
        <f>(GK136*(10^-3)*$FR$35*$FY$136/$GB$26)+GF135</f>
        <v>133180.28993117466</v>
      </c>
      <c r="GG136" s="73">
        <f>(GL136*(10^-3)*$FR$35*$FY$136/$GB$26)+GG135</f>
        <v>134294.02861833901</v>
      </c>
      <c r="GH136" s="73">
        <f>(GM136*(10^-3)*$FR$35*$FY$136/$GB$26)+GH135</f>
        <v>115135.96281567487</v>
      </c>
      <c r="GI136" s="44">
        <v>0.36701303895922782</v>
      </c>
      <c r="GJ136" s="44">
        <v>0.2893286123795249</v>
      </c>
      <c r="GK136" s="44">
        <v>0.52084358664181052</v>
      </c>
      <c r="GL136" s="44">
        <v>0.55898443907381745</v>
      </c>
      <c r="GM136" s="44">
        <v>0.48257664874721473</v>
      </c>
      <c r="GN136" s="45">
        <f t="shared" ref="GN136:GN146" si="198">GD136/2.32</f>
        <v>38163.50688585778</v>
      </c>
      <c r="GO136" s="45">
        <f t="shared" si="144"/>
        <v>32457.748518961886</v>
      </c>
      <c r="GP136" s="45">
        <f t="shared" si="145"/>
        <v>57405.297384127014</v>
      </c>
      <c r="GQ136" s="45">
        <f t="shared" si="146"/>
        <v>57885.357163077162</v>
      </c>
      <c r="GR136" s="45">
        <f t="shared" si="147"/>
        <v>49627.570179170201</v>
      </c>
      <c r="GS136" s="7">
        <f t="shared" ref="GS136:GS146" si="199">_xlfn.STDEV.P(GN136:GR136)</f>
        <v>10229.054894739693</v>
      </c>
      <c r="GT136" s="7">
        <f t="shared" ref="GT136:GT146" si="200">GS136/100000</f>
        <v>0.10229054894739693</v>
      </c>
    </row>
    <row r="137" spans="1:202" x14ac:dyDescent="0.3">
      <c r="A137" s="8">
        <f t="shared" si="148"/>
        <v>3.4854155628622738</v>
      </c>
      <c r="B137" s="67">
        <f t="shared" si="127"/>
        <v>7.9195990976193453E-2</v>
      </c>
      <c r="C137" s="9">
        <f t="shared" si="149"/>
        <v>7620561.0952710845</v>
      </c>
      <c r="D137" s="6">
        <v>15.278633249323276</v>
      </c>
      <c r="E137" s="6"/>
      <c r="F137" s="6">
        <f t="shared" si="150"/>
        <v>1</v>
      </c>
      <c r="G137" s="6">
        <f>G136+30</f>
        <v>60</v>
      </c>
      <c r="H137" s="6">
        <f t="shared" si="151"/>
        <v>3600</v>
      </c>
      <c r="I137" s="6">
        <f t="shared" ref="I137:I151" si="201">H137-H136</f>
        <v>1800</v>
      </c>
      <c r="J137" s="6">
        <f t="shared" si="152"/>
        <v>3284724.6100306399</v>
      </c>
      <c r="K137" s="6">
        <f t="shared" si="153"/>
        <v>32.8472461003064</v>
      </c>
      <c r="N137" s="73">
        <f>(S137*(10^-3)*$B$35*$I$137/$L$26)+N136</f>
        <v>7620249.4165029824</v>
      </c>
      <c r="O137" s="73">
        <f>(T137*(10^-3)*$B$35*$I$137/$L$26)+O136</f>
        <v>7617937.3548192289</v>
      </c>
      <c r="P137" s="73">
        <f>(U137*(10^-3)*$B$35*$I$137/$L$26)+P136</f>
        <v>7605033.9248672221</v>
      </c>
      <c r="Q137" s="73">
        <f>(V137*(10^-3)*$B$35*$I$137/$L$26)+Q136</f>
        <v>7638139.5846438706</v>
      </c>
      <c r="R137" s="73">
        <f>(W137*(10^-3)*$B$35*$I$137/$L$26)+R136</f>
        <v>7604896.5628464818</v>
      </c>
      <c r="S137" s="44">
        <v>15.294532866477297</v>
      </c>
      <c r="T137" s="44">
        <v>15.299290727480221</v>
      </c>
      <c r="U137" s="44">
        <v>15.280225992312818</v>
      </c>
      <c r="V137" s="44">
        <v>15.265868977234208</v>
      </c>
      <c r="W137" s="44">
        <v>15.173759637534177</v>
      </c>
      <c r="X137" s="45">
        <f t="shared" si="154"/>
        <v>3284590.2657340444</v>
      </c>
      <c r="Y137" s="45">
        <f t="shared" si="128"/>
        <v>3283593.6874220818</v>
      </c>
      <c r="Z137" s="45">
        <f t="shared" si="128"/>
        <v>3278031.8641669061</v>
      </c>
      <c r="AA137" s="45">
        <f t="shared" si="128"/>
        <v>3292301.5451051169</v>
      </c>
      <c r="AB137" s="45">
        <f t="shared" si="128"/>
        <v>3277972.656399346</v>
      </c>
      <c r="AC137" s="7">
        <f t="shared" si="155"/>
        <v>5270.9141012994869</v>
      </c>
      <c r="AD137" s="7">
        <f t="shared" si="156"/>
        <v>5.270914101299487E-2</v>
      </c>
      <c r="AF137" s="11">
        <f t="shared" si="157"/>
        <v>1.5629490314123324E-2</v>
      </c>
      <c r="AG137" s="11">
        <f t="shared" si="158"/>
        <v>1.5624748166758224E-2</v>
      </c>
      <c r="AI137">
        <f t="shared" si="159"/>
        <v>2.3710736825497888E-6</v>
      </c>
      <c r="BR137" s="8">
        <f t="shared" si="160"/>
        <v>2.6281114838062485</v>
      </c>
      <c r="BS137" s="67">
        <f t="shared" si="161"/>
        <v>5.9716234578646867E-2</v>
      </c>
      <c r="BT137" s="9">
        <f t="shared" si="162"/>
        <v>5746139.5252054352</v>
      </c>
      <c r="BU137" s="6">
        <v>11.482145858461239</v>
      </c>
      <c r="BV137" s="6"/>
      <c r="BW137" s="6">
        <f t="shared" si="163"/>
        <v>1</v>
      </c>
      <c r="BX137" s="6">
        <f>BX136+30</f>
        <v>60</v>
      </c>
      <c r="BY137" s="6">
        <f t="shared" si="164"/>
        <v>3600</v>
      </c>
      <c r="BZ137" s="6">
        <f t="shared" si="165"/>
        <v>1800</v>
      </c>
      <c r="CA137" s="6">
        <f t="shared" si="166"/>
        <v>2476784.2781057912</v>
      </c>
      <c r="CB137" s="6">
        <f t="shared" si="167"/>
        <v>24.767842781057912</v>
      </c>
      <c r="CE137" s="73">
        <f>(CJ137*(10^-3)*$BS$35*$BZ$137/$CC$26)+CE136</f>
        <v>5755156.5259683244</v>
      </c>
      <c r="CF137" s="73">
        <f>(CK137*(10^-3)*$BS$35*$BZ$137/$CC$26)+CF136</f>
        <v>5720228.7313899342</v>
      </c>
      <c r="CG137" s="73">
        <f>(CL137*(10^-3)*$BS$35*$BZ$137/$CC$26)+CG136</f>
        <v>5789350.0521844858</v>
      </c>
      <c r="CH137" s="73">
        <f>(CM137*(10^-3)*$BS$35*$BZ$137/$CC$26)+CH136</f>
        <v>5748127.3842172828</v>
      </c>
      <c r="CI137" s="73">
        <f>(CN137*(10^-3)*$BS$35*$BZ$137/$CC$26)+CI136</f>
        <v>5700799.1437155902</v>
      </c>
      <c r="CJ137" s="44">
        <v>11.494843706004509</v>
      </c>
      <c r="CK137" s="44">
        <v>11.450289265638837</v>
      </c>
      <c r="CL137" s="44">
        <v>11.604871439834385</v>
      </c>
      <c r="CM137" s="44">
        <v>11.517003677660073</v>
      </c>
      <c r="CN137" s="44">
        <v>11.427893968317219</v>
      </c>
      <c r="CO137" s="45">
        <f t="shared" si="168"/>
        <v>2480670.9163656575</v>
      </c>
      <c r="CP137" s="45">
        <f t="shared" si="129"/>
        <v>2465615.8324956615</v>
      </c>
      <c r="CQ137" s="45">
        <f t="shared" si="130"/>
        <v>2495409.5052519338</v>
      </c>
      <c r="CR137" s="45">
        <f t="shared" si="131"/>
        <v>2477641.1138867601</v>
      </c>
      <c r="CS137" s="45">
        <f t="shared" si="132"/>
        <v>2457241.0102222376</v>
      </c>
      <c r="CT137" s="7">
        <f t="shared" si="169"/>
        <v>13104.417131116459</v>
      </c>
      <c r="CU137" s="7">
        <f t="shared" si="170"/>
        <v>0.13104417131116458</v>
      </c>
      <c r="CW137" s="11">
        <f t="shared" si="171"/>
        <v>3.1477591965807232E-2</v>
      </c>
      <c r="CX137" s="11">
        <f t="shared" si="172"/>
        <v>3.1286555829597343E-2</v>
      </c>
      <c r="CY137">
        <f t="shared" si="133"/>
        <v>9.5518068104944592E-5</v>
      </c>
      <c r="DA137" s="8">
        <f t="shared" si="173"/>
        <v>0.665228378287824</v>
      </c>
      <c r="DB137" s="67">
        <f t="shared" si="134"/>
        <v>1.5115391463027131E-2</v>
      </c>
      <c r="DC137" s="9">
        <f t="shared" ref="DC137:DC146" si="202">(DD137*(10^-3)*$DB$35*DI137/($DL$26))+DC136</f>
        <v>1454464.5846727649</v>
      </c>
      <c r="DD137" s="6">
        <v>2.9071889159047539</v>
      </c>
      <c r="DE137" s="6"/>
      <c r="DF137" s="6">
        <f t="shared" si="174"/>
        <v>1</v>
      </c>
      <c r="DG137" s="6">
        <f>DG136+30</f>
        <v>60</v>
      </c>
      <c r="DH137" s="6">
        <f t="shared" si="175"/>
        <v>3600</v>
      </c>
      <c r="DI137" s="6">
        <f t="shared" ref="DI137:DI146" si="203">DH137-DH136</f>
        <v>1800</v>
      </c>
      <c r="DJ137" s="6">
        <f t="shared" si="176"/>
        <v>626924.38994515734</v>
      </c>
      <c r="DK137" s="6">
        <f t="shared" si="177"/>
        <v>6.2692438994515731</v>
      </c>
      <c r="DN137" s="73">
        <f>(DS137*(10^-3)*$DB$35*$DI$137/$DL$26)+DN136</f>
        <v>1448748.6599581037</v>
      </c>
      <c r="DO137" s="73">
        <f>(DT137*(10^-3)*$DB$35*$DI$137/$DL$26)+DO136</f>
        <v>1500235.6592215297</v>
      </c>
      <c r="DP137" s="73">
        <f>(DU137*(10^-3)*$DB$35*$DI$137/$DL$26)+DP136</f>
        <v>1343204.7186711184</v>
      </c>
      <c r="DQ137" s="73">
        <f>(DV137*(10^-3)*$DB$35*$DI$137/$DL$26)+DQ136</f>
        <v>1416374.4188506231</v>
      </c>
      <c r="DR137" s="73">
        <f>(DW137*(10^-3)*$DB$35*$DI$137/$DL$26)+DR136</f>
        <v>1487134.9124433629</v>
      </c>
      <c r="DS137" s="44">
        <v>2.9692850278334357</v>
      </c>
      <c r="DT137" s="44">
        <v>3.1229295925909182</v>
      </c>
      <c r="DU137" s="44">
        <v>2.5267329793748816</v>
      </c>
      <c r="DV137" s="44">
        <v>2.7186695820853042</v>
      </c>
      <c r="DW137" s="44">
        <v>2.9692850278334357</v>
      </c>
      <c r="DX137" s="45">
        <f t="shared" si="178"/>
        <v>624460.62929228612</v>
      </c>
      <c r="DY137" s="45">
        <f t="shared" si="135"/>
        <v>646653.30138859048</v>
      </c>
      <c r="DZ137" s="45">
        <f t="shared" si="136"/>
        <v>578967.5511513442</v>
      </c>
      <c r="EA137" s="45">
        <f t="shared" si="137"/>
        <v>610506.21502182027</v>
      </c>
      <c r="EB137" s="45">
        <f t="shared" si="138"/>
        <v>641006.42777731165</v>
      </c>
      <c r="EC137" s="7">
        <f t="shared" si="179"/>
        <v>24268.709325462936</v>
      </c>
      <c r="ED137" s="7">
        <f t="shared" si="180"/>
        <v>0.24268709325462937</v>
      </c>
      <c r="EF137" s="11">
        <f t="shared" si="181"/>
        <v>1.9809678057148201E-3</v>
      </c>
      <c r="EG137" s="11">
        <f t="shared" si="182"/>
        <v>2.0513693120441925E-3</v>
      </c>
      <c r="EH137">
        <f t="shared" si="139"/>
        <v>3.5200753164686205E-5</v>
      </c>
      <c r="EI137" s="8">
        <f t="shared" si="183"/>
        <v>0.13759001737120571</v>
      </c>
      <c r="EJ137" s="67">
        <f t="shared" si="184"/>
        <v>3.1263353185913591E-3</v>
      </c>
      <c r="EK137" s="9">
        <f t="shared" ref="EK137:EK146" si="204">(EL137*(10^-3)*$EJ$35*EQ137/($ET$26))+EK136</f>
        <v>300828.7289035999</v>
      </c>
      <c r="EL137" s="6">
        <v>0.61212310745065768</v>
      </c>
      <c r="EM137" s="6"/>
      <c r="EN137" s="6">
        <f t="shared" si="185"/>
        <v>1</v>
      </c>
      <c r="EO137" s="6">
        <f>EO136+30</f>
        <v>60</v>
      </c>
      <c r="EP137" s="6">
        <f t="shared" si="186"/>
        <v>3600</v>
      </c>
      <c r="EQ137" s="6">
        <f t="shared" ref="EQ137:EQ146" si="205">EP137-EP136</f>
        <v>1800</v>
      </c>
      <c r="ER137" s="6">
        <f t="shared" si="187"/>
        <v>129667.55556189652</v>
      </c>
      <c r="ES137" s="6">
        <f t="shared" si="188"/>
        <v>1.2966755556189651</v>
      </c>
      <c r="EV137" s="73">
        <f>(FA137*(10^-3)*$EJ$35*$EQ$137/$ET$26)+EV136</f>
        <v>338963.42405932129</v>
      </c>
      <c r="EW137" s="73">
        <f>(FB137*(10^-3)*$EJ$35*$EQ$137/$ET$26)+EW136</f>
        <v>252142.66935069545</v>
      </c>
      <c r="EX137" s="73">
        <f>(FC137*(10^-3)*$EJ$35*$EQ$137/$ET$26)+EX136</f>
        <v>322065.06989089993</v>
      </c>
      <c r="EY137" s="73">
        <f>(FD137*(10^-3)*$EJ$35*$EQ$137/$ET$26)+EY136</f>
        <v>284806.18114137038</v>
      </c>
      <c r="EZ137" s="73">
        <f>(FE137*(10^-3)*$EJ$35*$EQ$137/$ET$26)+EZ136</f>
        <v>320513.78037981584</v>
      </c>
      <c r="FA137" s="44">
        <v>0.60581848464733756</v>
      </c>
      <c r="FB137" s="44">
        <v>0.33786677039592145</v>
      </c>
      <c r="FC137" s="44">
        <v>0.75618167817218118</v>
      </c>
      <c r="FD137" s="44">
        <v>0.52989251563974693</v>
      </c>
      <c r="FE137" s="44">
        <v>0.86767048507840028</v>
      </c>
      <c r="FF137" s="45">
        <f t="shared" si="189"/>
        <v>146104.92416350057</v>
      </c>
      <c r="FG137" s="45">
        <f t="shared" si="140"/>
        <v>108682.18506495495</v>
      </c>
      <c r="FH137" s="45">
        <f t="shared" si="141"/>
        <v>138821.15081504307</v>
      </c>
      <c r="FI137" s="45">
        <f t="shared" si="142"/>
        <v>122761.28497472862</v>
      </c>
      <c r="FJ137" s="45">
        <f t="shared" si="143"/>
        <v>138152.49154302408</v>
      </c>
      <c r="FK137" s="7">
        <f t="shared" si="190"/>
        <v>13464.047446905299</v>
      </c>
      <c r="FL137" s="7">
        <f t="shared" si="191"/>
        <v>0.134640474469053</v>
      </c>
      <c r="FQ137" s="8">
        <f t="shared" si="192"/>
        <v>9.0814363032391016E-2</v>
      </c>
      <c r="FR137" s="67">
        <f t="shared" si="193"/>
        <v>2.0634938203224497E-3</v>
      </c>
      <c r="FS137" s="9">
        <f t="shared" ref="FS137:FS146" si="206">(FT137*(10^-3)*$FR$35*FY137/($GB$26))+FS136</f>
        <v>198557.78725224282</v>
      </c>
      <c r="FT137" s="6">
        <v>0.44358507485823151</v>
      </c>
      <c r="FU137" s="6"/>
      <c r="FV137" s="6">
        <f t="shared" si="194"/>
        <v>1</v>
      </c>
      <c r="FW137" s="6">
        <f>FW136+30</f>
        <v>60</v>
      </c>
      <c r="FX137" s="6">
        <f t="shared" si="195"/>
        <v>3600</v>
      </c>
      <c r="FY137" s="6">
        <f t="shared" ref="FY137:FY146" si="207">FX137-FX136</f>
        <v>1800</v>
      </c>
      <c r="FZ137" s="6">
        <f t="shared" si="196"/>
        <v>85585.253125966745</v>
      </c>
      <c r="GA137" s="6">
        <f t="shared" si="197"/>
        <v>0.85585253125966743</v>
      </c>
      <c r="GD137" s="73">
        <f>(GI137*(10^-3)*$FR$35*$FY$137/$GB$26)+GD136</f>
        <v>61806.395883052479</v>
      </c>
      <c r="GE137" s="73">
        <f>(GJ137*(10^-3)*$FR$35*$FY$137/$GB$26)+GE136</f>
        <v>108381.74723169312</v>
      </c>
      <c r="GF137" s="73">
        <f>(GK137*(10^-3)*$FR$35*$FY$137/$GB$26)+GF136</f>
        <v>403038.7733491789</v>
      </c>
      <c r="GG137" s="73">
        <f>(GL137*(10^-3)*$FR$35*$FY$137/$GB$26)+GG136</f>
        <v>177225.69748489754</v>
      </c>
      <c r="GH137" s="73">
        <f>(GM137*(10^-3)*$FR$35*$FY$137/$GB$26)+GH136</f>
        <v>216492.81901077763</v>
      </c>
      <c r="GI137" s="44">
        <v>-0.10684960526994453</v>
      </c>
      <c r="GJ137" s="44">
        <v>0.13221742262848793</v>
      </c>
      <c r="GK137" s="44">
        <v>1.0786046103638292</v>
      </c>
      <c r="GL137" s="44">
        <v>0.17159473878149664</v>
      </c>
      <c r="GM137" s="44">
        <v>0.40511593706202415</v>
      </c>
      <c r="GN137" s="45">
        <f t="shared" si="198"/>
        <v>26640.687880626072</v>
      </c>
      <c r="GO137" s="45">
        <f t="shared" si="144"/>
        <v>46716.270358488422</v>
      </c>
      <c r="GP137" s="45">
        <f t="shared" si="145"/>
        <v>173723.6092022323</v>
      </c>
      <c r="GQ137" s="45">
        <f t="shared" si="146"/>
        <v>76390.386846938592</v>
      </c>
      <c r="GR137" s="45">
        <f t="shared" si="147"/>
        <v>93315.870263266232</v>
      </c>
      <c r="GS137" s="7">
        <f t="shared" si="199"/>
        <v>50740.752818366309</v>
      </c>
      <c r="GT137" s="7">
        <f t="shared" si="200"/>
        <v>0.50740752818366308</v>
      </c>
    </row>
    <row r="138" spans="1:202" x14ac:dyDescent="0.3">
      <c r="A138" s="8">
        <f t="shared" si="148"/>
        <v>5.2516511783160542</v>
      </c>
      <c r="B138" s="67">
        <f t="shared" si="127"/>
        <v>0.11932858846435025</v>
      </c>
      <c r="C138" s="9">
        <f t="shared" si="149"/>
        <v>11482283.226664782</v>
      </c>
      <c r="D138" s="6">
        <v>15.435020763877086</v>
      </c>
      <c r="E138" s="6"/>
      <c r="F138" s="6">
        <f t="shared" si="150"/>
        <v>1.5</v>
      </c>
      <c r="G138" s="6">
        <f t="shared" ref="G138:G151" si="208">G137+30</f>
        <v>90</v>
      </c>
      <c r="H138" s="6">
        <f t="shared" si="151"/>
        <v>5400</v>
      </c>
      <c r="I138" s="6">
        <f t="shared" si="201"/>
        <v>1800</v>
      </c>
      <c r="J138" s="6">
        <f t="shared" si="152"/>
        <v>4949260.0114934407</v>
      </c>
      <c r="K138" s="6">
        <f t="shared" si="153"/>
        <v>49.492600114934405</v>
      </c>
      <c r="N138" s="73">
        <f>(S138*(10^-3)*$B$35*$I$138/$L$26)+N137</f>
        <v>11471622.91672473</v>
      </c>
      <c r="O138" s="73">
        <f>(T138*(10^-3)*$B$35*$I$138/$L$26)+O137</f>
        <v>11469310.855040975</v>
      </c>
      <c r="P138" s="73">
        <f>(U138*(10^-3)*$B$35*$I$138/$L$26)+P137</f>
        <v>11445951.368679937</v>
      </c>
      <c r="Q138" s="73">
        <f>(V138*(10^-3)*$B$35*$I$138/$L$26)+Q137</f>
        <v>11522482.313144056</v>
      </c>
      <c r="R138" s="73">
        <f>(W138*(10^-3)*$B$35*$I$138/$L$26)+R137</f>
        <v>11483632.148430629</v>
      </c>
      <c r="S138" s="44">
        <v>15.393658042380826</v>
      </c>
      <c r="T138" s="44">
        <v>15.393658042380826</v>
      </c>
      <c r="U138" s="44">
        <v>15.351865950073188</v>
      </c>
      <c r="V138" s="44">
        <v>15.525433635168767</v>
      </c>
      <c r="W138" s="44">
        <v>15.503022295256059</v>
      </c>
      <c r="X138" s="45">
        <f t="shared" si="154"/>
        <v>4944665.050312384</v>
      </c>
      <c r="Y138" s="45">
        <f t="shared" si="128"/>
        <v>4943668.472000421</v>
      </c>
      <c r="Z138" s="45">
        <f t="shared" si="128"/>
        <v>4933599.7278792839</v>
      </c>
      <c r="AA138" s="45">
        <f t="shared" si="128"/>
        <v>4966587.2039414039</v>
      </c>
      <c r="AB138" s="45">
        <f t="shared" si="128"/>
        <v>4949841.4432890648</v>
      </c>
      <c r="AC138" s="7">
        <f t="shared" si="155"/>
        <v>10822.109305639782</v>
      </c>
      <c r="AD138" s="7">
        <f t="shared" si="156"/>
        <v>0.10822109305639782</v>
      </c>
      <c r="AF138" s="11">
        <f t="shared" si="157"/>
        <v>2.3528838685506585E-2</v>
      </c>
      <c r="AG138" s="11">
        <f t="shared" si="158"/>
        <v>2.3524096538141481E-2</v>
      </c>
      <c r="AI138">
        <f t="shared" si="159"/>
        <v>2.3710736825523909E-6</v>
      </c>
      <c r="BR138" s="8">
        <f t="shared" si="160"/>
        <v>3.9751213337043558</v>
      </c>
      <c r="BS138" s="67">
        <f t="shared" si="161"/>
        <v>9.0323138689033314E-2</v>
      </c>
      <c r="BT138" s="9">
        <f t="shared" si="162"/>
        <v>8691260.6081705671</v>
      </c>
      <c r="BU138" s="6">
        <v>11.771433448862142</v>
      </c>
      <c r="BV138" s="6"/>
      <c r="BW138" s="6">
        <f t="shared" si="163"/>
        <v>1.5</v>
      </c>
      <c r="BX138" s="6">
        <f>BX137+30</f>
        <v>90</v>
      </c>
      <c r="BY138" s="6">
        <f t="shared" si="164"/>
        <v>5400</v>
      </c>
      <c r="BZ138" s="6">
        <f t="shared" si="165"/>
        <v>1800</v>
      </c>
      <c r="CA138" s="6">
        <f t="shared" si="166"/>
        <v>3746233.0207631756</v>
      </c>
      <c r="CB138" s="6">
        <f t="shared" si="167"/>
        <v>37.462330207631759</v>
      </c>
      <c r="CE138" s="73">
        <f>(CJ138*(10^-3)*$BS$35*$BZ$138/$CC$26)+CE137</f>
        <v>8678962.115521051</v>
      </c>
      <c r="CF138" s="73">
        <f>(CK138*(10^-3)*$BS$35*$BZ$138/$CC$26)+CF137</f>
        <v>8673267.8449238222</v>
      </c>
      <c r="CG138" s="73">
        <f>(CL138*(10^-3)*$BS$35*$BZ$138/$CC$26)+CG137</f>
        <v>8739754.345491983</v>
      </c>
      <c r="CH138" s="73">
        <f>(CM138*(10^-3)*$BS$35*$BZ$138/$CC$26)+CH137</f>
        <v>8685289.5517742317</v>
      </c>
      <c r="CI138" s="73">
        <f>(CN138*(10^-3)*$BS$35*$BZ$138/$CC$26)+CI137</f>
        <v>8640618.845365556</v>
      </c>
      <c r="CJ138" s="44">
        <v>11.686236981530083</v>
      </c>
      <c r="CK138" s="44">
        <v>11.803081237615306</v>
      </c>
      <c r="CL138" s="44">
        <v>11.792550053982794</v>
      </c>
      <c r="CM138" s="44">
        <v>11.739622246397687</v>
      </c>
      <c r="CN138" s="44">
        <v>11.750244215692929</v>
      </c>
      <c r="CO138" s="45">
        <f t="shared" si="168"/>
        <v>3740931.9463452809</v>
      </c>
      <c r="CP138" s="45">
        <f t="shared" si="129"/>
        <v>3738477.5193637167</v>
      </c>
      <c r="CQ138" s="45">
        <f t="shared" si="130"/>
        <v>3767135.4937465447</v>
      </c>
      <c r="CR138" s="45">
        <f t="shared" si="131"/>
        <v>3743659.2895578588</v>
      </c>
      <c r="CS138" s="45">
        <f t="shared" si="132"/>
        <v>3724404.6747265328</v>
      </c>
      <c r="CT138" s="7">
        <f t="shared" si="169"/>
        <v>13808.996574934517</v>
      </c>
      <c r="CU138" s="7">
        <f t="shared" si="170"/>
        <v>0.13808996574934518</v>
      </c>
      <c r="CW138" s="11">
        <f t="shared" si="171"/>
        <v>4.7469226410502392E-2</v>
      </c>
      <c r="CX138" s="11">
        <f t="shared" si="172"/>
        <v>4.7438081831620189E-2</v>
      </c>
      <c r="CY138">
        <f t="shared" si="133"/>
        <v>1.557228944110145E-5</v>
      </c>
      <c r="DA138" s="8">
        <f t="shared" si="173"/>
        <v>0.99729295034356391</v>
      </c>
      <c r="DB138" s="67">
        <f t="shared" si="134"/>
        <v>2.2660598735368416E-2</v>
      </c>
      <c r="DC138" s="9">
        <f t="shared" si="202"/>
        <v>2180495.1865582154</v>
      </c>
      <c r="DD138" s="6">
        <v>2.9018911858548835</v>
      </c>
      <c r="DE138" s="6"/>
      <c r="DF138" s="6">
        <f t="shared" si="174"/>
        <v>1.5</v>
      </c>
      <c r="DG138" s="6">
        <f>DG137+30</f>
        <v>90</v>
      </c>
      <c r="DH138" s="6">
        <f t="shared" si="175"/>
        <v>5400</v>
      </c>
      <c r="DI138" s="6">
        <f t="shared" si="203"/>
        <v>1800</v>
      </c>
      <c r="DJ138" s="6">
        <f t="shared" si="176"/>
        <v>939868.61489578255</v>
      </c>
      <c r="DK138" s="6">
        <f t="shared" si="177"/>
        <v>9.3986861489578253</v>
      </c>
      <c r="DN138" s="73">
        <f>(DS138*(10^-3)*$DB$35*$DI$138/$DL$26)+DN137</f>
        <v>2156652.991755994</v>
      </c>
      <c r="DO138" s="73">
        <f>(DT138*(10^-3)*$DB$35*$DI$138/$DL$26)+DO137</f>
        <v>2208139.9910194203</v>
      </c>
      <c r="DP138" s="73">
        <f>(DU138*(10^-3)*$DB$35*$DI$138/$DL$26)+DP137</f>
        <v>2089798.0612171944</v>
      </c>
      <c r="DQ138" s="73">
        <f>(DV138*(10^-3)*$DB$35*$DI$138/$DL$26)+DQ137</f>
        <v>2116471.7580176578</v>
      </c>
      <c r="DR138" s="73">
        <f>(DW138*(10^-3)*$DB$35*$DI$138/$DL$26)+DR137</f>
        <v>2202823.0362996552</v>
      </c>
      <c r="DS138" s="44">
        <v>2.8294418107694308</v>
      </c>
      <c r="DT138" s="44">
        <v>2.8294418107694308</v>
      </c>
      <c r="DU138" s="44">
        <v>2.9840789555234459</v>
      </c>
      <c r="DV138" s="44">
        <v>2.7982378325284576</v>
      </c>
      <c r="DW138" s="44">
        <v>2.8605530580200909</v>
      </c>
      <c r="DX138" s="45">
        <f t="shared" si="178"/>
        <v>929591.80679137679</v>
      </c>
      <c r="DY138" s="45">
        <f t="shared" si="135"/>
        <v>951784.47888768127</v>
      </c>
      <c r="DZ138" s="45">
        <f t="shared" si="136"/>
        <v>900775.02638672176</v>
      </c>
      <c r="EA138" s="45">
        <f t="shared" si="137"/>
        <v>912272.30949036975</v>
      </c>
      <c r="EB138" s="45">
        <f t="shared" si="138"/>
        <v>949492.68806019623</v>
      </c>
      <c r="EC138" s="7">
        <f t="shared" si="179"/>
        <v>20078.161597520451</v>
      </c>
      <c r="ED138" s="7">
        <f t="shared" si="180"/>
        <v>0.20078161597520452</v>
      </c>
      <c r="EF138" s="11">
        <f t="shared" si="181"/>
        <v>2.9489312141215188E-3</v>
      </c>
      <c r="EG138" s="11">
        <f t="shared" si="182"/>
        <v>3.0193327204508912E-3</v>
      </c>
      <c r="EH138">
        <f t="shared" si="139"/>
        <v>3.5200753164686205E-5</v>
      </c>
      <c r="EI138" s="8">
        <f t="shared" si="183"/>
        <v>0.20823787915832415</v>
      </c>
      <c r="EJ138" s="67">
        <f t="shared" si="184"/>
        <v>4.7316037073011621E-3</v>
      </c>
      <c r="EK138" s="9">
        <f t="shared" si="204"/>
        <v>455294.19716382679</v>
      </c>
      <c r="EL138" s="6">
        <v>0.61738717307403668</v>
      </c>
      <c r="EM138" s="6"/>
      <c r="EN138" s="6">
        <f t="shared" si="185"/>
        <v>1.5</v>
      </c>
      <c r="EO138" s="6">
        <f>EO137+30</f>
        <v>90</v>
      </c>
      <c r="EP138" s="6">
        <f t="shared" si="186"/>
        <v>5400</v>
      </c>
      <c r="EQ138" s="6">
        <f t="shared" si="205"/>
        <v>1800</v>
      </c>
      <c r="ER138" s="6">
        <f t="shared" si="187"/>
        <v>196247.49877751156</v>
      </c>
      <c r="ES138" s="6">
        <f t="shared" si="188"/>
        <v>1.9624749877751155</v>
      </c>
      <c r="EV138" s="73">
        <f>(FA138*(10^-3)*$EJ$35*$EQ$138/$ET$26)+EV137</f>
        <v>471316.08028019615</v>
      </c>
      <c r="EW138" s="73">
        <f>(FB138*(10^-3)*$EJ$35*$EQ$138/$ET$26)+EW137</f>
        <v>412894.96101971623</v>
      </c>
      <c r="EX138" s="73">
        <f>(FC138*(10^-3)*$EJ$35*$EQ$138/$ET$26)+EX137</f>
        <v>482817.36155992071</v>
      </c>
      <c r="EY138" s="73">
        <f>(FD138*(10^-3)*$EJ$35*$EQ$138/$ET$26)+EY137</f>
        <v>473679.68046002951</v>
      </c>
      <c r="EZ138" s="73">
        <f>(FE138*(10^-3)*$EJ$35*$EQ$138/$ET$26)+EZ137</f>
        <v>443337.30272304738</v>
      </c>
      <c r="FA138" s="44">
        <v>0.52900388153671141</v>
      </c>
      <c r="FB138" s="44">
        <v>0.64251514617823868</v>
      </c>
      <c r="FC138" s="44">
        <v>0.64251514617823868</v>
      </c>
      <c r="FD138" s="44">
        <v>0.75491355528407922</v>
      </c>
      <c r="FE138" s="44">
        <v>0.49091663075616226</v>
      </c>
      <c r="FF138" s="45">
        <f t="shared" si="189"/>
        <v>203153.4828793949</v>
      </c>
      <c r="FG138" s="45">
        <f t="shared" si="140"/>
        <v>177971.96595677425</v>
      </c>
      <c r="FH138" s="45">
        <f t="shared" si="141"/>
        <v>208110.93170686238</v>
      </c>
      <c r="FI138" s="45">
        <f t="shared" si="142"/>
        <v>204172.27606035757</v>
      </c>
      <c r="FJ138" s="45">
        <f t="shared" si="143"/>
        <v>191093.66496683078</v>
      </c>
      <c r="FK138" s="7">
        <f t="shared" si="190"/>
        <v>11042.291747077241</v>
      </c>
      <c r="FL138" s="7">
        <f t="shared" si="191"/>
        <v>0.1104229174707724</v>
      </c>
      <c r="FQ138" s="8">
        <f t="shared" si="192"/>
        <v>0.14364508487415339</v>
      </c>
      <c r="FR138" s="67">
        <f t="shared" si="193"/>
        <v>3.2639192200443856E-3</v>
      </c>
      <c r="FS138" s="9">
        <f t="shared" si="206"/>
        <v>314067.61276406847</v>
      </c>
      <c r="FT138" s="6">
        <v>0.46168431972690888</v>
      </c>
      <c r="FU138" s="6"/>
      <c r="FV138" s="6">
        <f t="shared" si="194"/>
        <v>1.5</v>
      </c>
      <c r="FW138" s="6">
        <f>FW137+30</f>
        <v>90</v>
      </c>
      <c r="FX138" s="6">
        <f t="shared" si="195"/>
        <v>5400</v>
      </c>
      <c r="FY138" s="6">
        <f t="shared" si="207"/>
        <v>1800</v>
      </c>
      <c r="FZ138" s="6">
        <f t="shared" si="196"/>
        <v>135373.97101899504</v>
      </c>
      <c r="GA138" s="6">
        <f t="shared" si="197"/>
        <v>1.3537397101899504</v>
      </c>
      <c r="GD138" s="73">
        <f>(GI138*(10^-3)*$FR$35*$FY$138/$GB$26)+GD137</f>
        <v>104637.16776049885</v>
      </c>
      <c r="GE138" s="73">
        <f>(GJ138*(10^-3)*$FR$35*$FY$138/$GB$26)+GE137</f>
        <v>238211.50509326503</v>
      </c>
      <c r="GF138" s="73">
        <f>(GK138*(10^-3)*$FR$35*$FY$138/$GB$26)+GF137</f>
        <v>589446.30314160441</v>
      </c>
      <c r="GG138" s="73">
        <f>(GL138*(10^-3)*$FR$35*$FY$138/$GB$26)+GG137</f>
        <v>249346.12797700023</v>
      </c>
      <c r="GH138" s="73">
        <f>(GM138*(10^-3)*$FR$35*$FY$138/$GB$26)+GH137</f>
        <v>346322.57687234954</v>
      </c>
      <c r="GI138" s="44">
        <v>0.17119146089951282</v>
      </c>
      <c r="GJ138" s="44">
        <v>0.51892004141667203</v>
      </c>
      <c r="GK138" s="44">
        <v>0.74505725554384727</v>
      </c>
      <c r="GL138" s="44">
        <v>0.28826008300695932</v>
      </c>
      <c r="GM138" s="44">
        <v>0.51892004141667203</v>
      </c>
      <c r="GN138" s="45">
        <f t="shared" si="198"/>
        <v>45102.227482973649</v>
      </c>
      <c r="GO138" s="45">
        <f t="shared" si="144"/>
        <v>102677.37288502805</v>
      </c>
      <c r="GP138" s="45">
        <f t="shared" si="145"/>
        <v>254071.6823886226</v>
      </c>
      <c r="GQ138" s="45">
        <f t="shared" si="146"/>
        <v>107476.77930043114</v>
      </c>
      <c r="GR138" s="45">
        <f t="shared" si="147"/>
        <v>149276.97278980585</v>
      </c>
      <c r="GS138" s="7">
        <f t="shared" si="199"/>
        <v>69587.39530581249</v>
      </c>
      <c r="GT138" s="7">
        <f t="shared" si="200"/>
        <v>0.69587395305812494</v>
      </c>
    </row>
    <row r="139" spans="1:202" x14ac:dyDescent="0.3">
      <c r="A139" s="8">
        <f t="shared" si="148"/>
        <v>7.0554527036799888</v>
      </c>
      <c r="B139" s="67">
        <f t="shared" si="127"/>
        <v>0.16031476263758213</v>
      </c>
      <c r="C139" s="9">
        <f t="shared" si="149"/>
        <v>15426139.986313447</v>
      </c>
      <c r="D139" s="6">
        <v>15.763306862517545</v>
      </c>
      <c r="E139" s="6"/>
      <c r="F139" s="6">
        <f t="shared" si="150"/>
        <v>2</v>
      </c>
      <c r="G139" s="6">
        <f t="shared" si="208"/>
        <v>120</v>
      </c>
      <c r="H139" s="6">
        <f t="shared" si="151"/>
        <v>7200</v>
      </c>
      <c r="I139" s="6">
        <f t="shared" si="201"/>
        <v>1800</v>
      </c>
      <c r="J139" s="6">
        <f t="shared" si="152"/>
        <v>6649198.2699626936</v>
      </c>
      <c r="K139" s="6">
        <f t="shared" si="153"/>
        <v>66.491982699626931</v>
      </c>
      <c r="N139" s="73">
        <f>(S139*(10^-3)*$B$35*$I$139/$L$26)+N138</f>
        <v>15349804.612404618</v>
      </c>
      <c r="O139" s="73">
        <f>(T139*(10^-3)*$B$35*$I$139/$L$26)+O138</f>
        <v>15406164.237061393</v>
      </c>
      <c r="P139" s="73">
        <f>(U139*(10^-3)*$B$35*$I$139/$L$26)+P138</f>
        <v>15408807.015393665</v>
      </c>
      <c r="Q139" s="73">
        <f>(V139*(10^-3)*$B$35*$I$139/$L$26)+Q138</f>
        <v>15500604.525566133</v>
      </c>
      <c r="R139" s="73">
        <f>(W139*(10^-3)*$B$35*$I$139/$L$26)+R138</f>
        <v>15496438.433165001</v>
      </c>
      <c r="S139" s="44">
        <v>15.500808437841608</v>
      </c>
      <c r="T139" s="44">
        <v>15.735314874634591</v>
      </c>
      <c r="U139" s="44">
        <v>15.839244023805209</v>
      </c>
      <c r="V139" s="44">
        <v>15.900263369756031</v>
      </c>
      <c r="W139" s="44">
        <v>16.038893068657458</v>
      </c>
      <c r="X139" s="45">
        <f t="shared" si="154"/>
        <v>6616295.0915537151</v>
      </c>
      <c r="Y139" s="45">
        <f t="shared" si="128"/>
        <v>6640588.0332161179</v>
      </c>
      <c r="Z139" s="45">
        <f t="shared" si="128"/>
        <v>6641727.1618076144</v>
      </c>
      <c r="AA139" s="45">
        <f t="shared" si="128"/>
        <v>6681295.0541233337</v>
      </c>
      <c r="AB139" s="45">
        <f t="shared" si="128"/>
        <v>6679499.3246400869</v>
      </c>
      <c r="AC139" s="7">
        <f t="shared" si="155"/>
        <v>24999.787377654309</v>
      </c>
      <c r="AD139" s="7">
        <f t="shared" si="156"/>
        <v>0.24999787377654309</v>
      </c>
      <c r="AF139" s="11">
        <f t="shared" si="157"/>
        <v>3.1483171927902683E-2</v>
      </c>
      <c r="AG139" s="11">
        <f t="shared" si="158"/>
        <v>3.1598768171481405E-2</v>
      </c>
      <c r="AI139">
        <f t="shared" si="159"/>
        <v>5.7798121789361112E-5</v>
      </c>
      <c r="BR139" s="8">
        <f t="shared" si="160"/>
        <v>5.3661920554235598</v>
      </c>
      <c r="BS139" s="67">
        <f t="shared" si="161"/>
        <v>0.12193119871446399</v>
      </c>
      <c r="BT139" s="9">
        <f t="shared" si="162"/>
        <v>11732716.994507052</v>
      </c>
      <c r="BU139" s="6">
        <v>12.156478606757691</v>
      </c>
      <c r="BV139" s="6"/>
      <c r="BW139" s="6">
        <f t="shared" si="163"/>
        <v>2</v>
      </c>
      <c r="BX139" s="6">
        <f>BX138+30</f>
        <v>120</v>
      </c>
      <c r="BY139" s="6">
        <f t="shared" si="164"/>
        <v>7200</v>
      </c>
      <c r="BZ139" s="6">
        <f t="shared" si="165"/>
        <v>1800</v>
      </c>
      <c r="CA139" s="6">
        <f t="shared" si="166"/>
        <v>5057205.6010806262</v>
      </c>
      <c r="CB139" s="6">
        <f t="shared" si="167"/>
        <v>50.572056010806264</v>
      </c>
      <c r="CE139" s="73">
        <f>(CJ139*(10^-3)*$BS$35*$BZ$139/$CC$26)+CE138</f>
        <v>11720418.501857534</v>
      </c>
      <c r="CF139" s="73">
        <f>(CK139*(10^-3)*$BS$35*$BZ$139/$CC$26)+CF138</f>
        <v>11689708.691073379</v>
      </c>
      <c r="CG139" s="73">
        <f>(CL139*(10^-3)*$BS$35*$BZ$139/$CC$26)+CG138</f>
        <v>11751141.674455162</v>
      </c>
      <c r="CH139" s="73">
        <f>(CM139*(10^-3)*$BS$35*$BZ$139/$CC$26)+CH138</f>
        <v>11748906.982251562</v>
      </c>
      <c r="CI139" s="73">
        <f>(CN139*(10^-3)*$BS$35*$BZ$139/$CC$26)+CI138</f>
        <v>11704236.275842886</v>
      </c>
      <c r="CJ139" s="44">
        <v>12.156478606757689</v>
      </c>
      <c r="CK139" s="44">
        <v>12.056493323231999</v>
      </c>
      <c r="CL139" s="44">
        <v>12.036294784847213</v>
      </c>
      <c r="CM139" s="44">
        <v>12.245054678475126</v>
      </c>
      <c r="CN139" s="44">
        <v>12.245054678475126</v>
      </c>
      <c r="CO139" s="45">
        <f t="shared" si="168"/>
        <v>5051904.5266627306</v>
      </c>
      <c r="CP139" s="45">
        <f t="shared" si="129"/>
        <v>5038667.5392557671</v>
      </c>
      <c r="CQ139" s="45">
        <f t="shared" si="130"/>
        <v>5065147.273472053</v>
      </c>
      <c r="CR139" s="45">
        <f t="shared" si="131"/>
        <v>5064184.0440739496</v>
      </c>
      <c r="CS139" s="45">
        <f t="shared" si="132"/>
        <v>5044929.429242624</v>
      </c>
      <c r="CT139" s="7">
        <f t="shared" si="169"/>
        <v>10434.434431268104</v>
      </c>
      <c r="CU139" s="7">
        <f t="shared" si="170"/>
        <v>0.10434434431268104</v>
      </c>
      <c r="CW139" s="11">
        <f t="shared" si="171"/>
        <v>6.4104347050386326E-2</v>
      </c>
      <c r="CX139" s="11">
        <f t="shared" si="172"/>
        <v>6.393638100309483E-2</v>
      </c>
      <c r="CY139">
        <f t="shared" si="133"/>
        <v>8.3983023645747834E-5</v>
      </c>
      <c r="DA139" s="8">
        <f t="shared" si="173"/>
        <v>1.3404189096980488</v>
      </c>
      <c r="DB139" s="67">
        <f t="shared" si="134"/>
        <v>3.045714405130763E-2</v>
      </c>
      <c r="DC139" s="9">
        <f t="shared" si="202"/>
        <v>2930710.5595816355</v>
      </c>
      <c r="DD139" s="6">
        <v>2.9985559462863787</v>
      </c>
      <c r="DE139" s="6"/>
      <c r="DF139" s="6">
        <f t="shared" si="174"/>
        <v>2</v>
      </c>
      <c r="DG139" s="6">
        <f>DG138+30</f>
        <v>120</v>
      </c>
      <c r="DH139" s="6">
        <f t="shared" si="175"/>
        <v>7200</v>
      </c>
      <c r="DI139" s="6">
        <f t="shared" si="203"/>
        <v>1800</v>
      </c>
      <c r="DJ139" s="6">
        <f t="shared" si="176"/>
        <v>1263237.3101644982</v>
      </c>
      <c r="DK139" s="6">
        <f t="shared" si="177"/>
        <v>12.632373101644982</v>
      </c>
      <c r="DN139" s="73">
        <f>(DS139*(10^-3)*$DB$35*$DI$139/$DL$26)+DN138</f>
        <v>2877439.8478277652</v>
      </c>
      <c r="DO139" s="73">
        <f>(DT139*(10^-3)*$DB$35*$DI$139/$DL$26)+DO138</f>
        <v>3034816.6915169358</v>
      </c>
      <c r="DP139" s="73">
        <f>(DU139*(10^-3)*$DB$35*$DI$139/$DL$26)+DP138</f>
        <v>2864074.0604350087</v>
      </c>
      <c r="DQ139" s="73">
        <f>(DV139*(10^-3)*$DB$35*$DI$139/$DL$26)+DQ138</f>
        <v>2806191.572313346</v>
      </c>
      <c r="DR139" s="73">
        <f>(DW139*(10^-3)*$DB$35*$DI$139/$DL$26)+DR138</f>
        <v>2908122.602200313</v>
      </c>
      <c r="DS139" s="44">
        <v>2.8809323175674266</v>
      </c>
      <c r="DT139" s="44">
        <v>3.3041662768697302</v>
      </c>
      <c r="DU139" s="44">
        <v>3.0947245084631527</v>
      </c>
      <c r="DV139" s="44">
        <v>2.7567596250301176</v>
      </c>
      <c r="DW139" s="44">
        <v>2.8190307520912361</v>
      </c>
      <c r="DX139" s="45">
        <f t="shared" si="178"/>
        <v>1240275.796477485</v>
      </c>
      <c r="DY139" s="45">
        <f t="shared" si="135"/>
        <v>1308110.642895231</v>
      </c>
      <c r="DZ139" s="45">
        <f t="shared" si="136"/>
        <v>1234514.6812219867</v>
      </c>
      <c r="EA139" s="45">
        <f t="shared" si="137"/>
        <v>1209565.3328936836</v>
      </c>
      <c r="EB139" s="45">
        <f t="shared" si="138"/>
        <v>1253501.1216380661</v>
      </c>
      <c r="EC139" s="7">
        <f t="shared" si="179"/>
        <v>32726.656157181875</v>
      </c>
      <c r="ED139" s="7">
        <f t="shared" si="180"/>
        <v>0.32726656157181877</v>
      </c>
      <c r="EF139" s="11">
        <f t="shared" si="181"/>
        <v>3.9345097317243383E-3</v>
      </c>
      <c r="EG139" s="11">
        <f t="shared" si="182"/>
        <v>4.1497012755234378E-3</v>
      </c>
      <c r="EH139">
        <f t="shared" si="139"/>
        <v>1.0759577189954975E-4</v>
      </c>
      <c r="EI139" s="8">
        <f t="shared" si="183"/>
        <v>0.28017945437988306</v>
      </c>
      <c r="EJ139" s="67">
        <f t="shared" si="184"/>
        <v>6.3662679931807105E-3</v>
      </c>
      <c r="EK139" s="9">
        <f t="shared" si="204"/>
        <v>612588.25848250394</v>
      </c>
      <c r="EL139" s="6">
        <v>0.62869285253626694</v>
      </c>
      <c r="EM139" s="6"/>
      <c r="EN139" s="6">
        <f t="shared" si="185"/>
        <v>2</v>
      </c>
      <c r="EO139" s="6">
        <f>EO138+30</f>
        <v>120</v>
      </c>
      <c r="EP139" s="6">
        <f t="shared" si="186"/>
        <v>7200</v>
      </c>
      <c r="EQ139" s="6">
        <f t="shared" si="205"/>
        <v>1800</v>
      </c>
      <c r="ER139" s="6">
        <f t="shared" si="187"/>
        <v>264046.66313901031</v>
      </c>
      <c r="ES139" s="6">
        <f t="shared" si="188"/>
        <v>2.6404666313901033</v>
      </c>
      <c r="EV139" s="73">
        <f>(FA139*(10^-3)*$EJ$35*$EQ$139/$ET$26)+EV138</f>
        <v>641131.1039645269</v>
      </c>
      <c r="EW139" s="73">
        <f>(FB139*(10^-3)*$EJ$35*$EQ$139/$ET$26)+EW138</f>
        <v>573324.40289793769</v>
      </c>
      <c r="EX139" s="73">
        <f>(FC139*(10^-3)*$EJ$35*$EQ$139/$ET$26)+EX138</f>
        <v>671311.53334856743</v>
      </c>
      <c r="EY139" s="73">
        <f>(FD139*(10^-3)*$EJ$35*$EQ$139/$ET$26)+EY138</f>
        <v>577141.90938575054</v>
      </c>
      <c r="EZ139" s="73">
        <f>(FE139*(10^-3)*$EJ$35*$EQ$139/$ET$26)+EZ138</f>
        <v>613152.32640737819</v>
      </c>
      <c r="FA139" s="44">
        <v>0.6787382228456631</v>
      </c>
      <c r="FB139" s="44">
        <v>0.6412247391900997</v>
      </c>
      <c r="FC139" s="44">
        <v>0.7533974109052658</v>
      </c>
      <c r="FD139" s="44">
        <v>0.41353095779813959</v>
      </c>
      <c r="FE139" s="44">
        <v>0.6787382228456631</v>
      </c>
      <c r="FF139" s="45">
        <f t="shared" si="189"/>
        <v>276349.61377781333</v>
      </c>
      <c r="FG139" s="45">
        <f t="shared" si="140"/>
        <v>247122.58745600763</v>
      </c>
      <c r="FH139" s="45">
        <f t="shared" si="141"/>
        <v>289358.4195467963</v>
      </c>
      <c r="FI139" s="45">
        <f t="shared" si="142"/>
        <v>248768.06439040974</v>
      </c>
      <c r="FJ139" s="45">
        <f t="shared" si="143"/>
        <v>264289.79586524924</v>
      </c>
      <c r="FK139" s="7">
        <f t="shared" si="190"/>
        <v>16159.025087101702</v>
      </c>
      <c r="FL139" s="7">
        <f t="shared" si="191"/>
        <v>0.16159025087101703</v>
      </c>
      <c r="FQ139" s="8">
        <f t="shared" si="192"/>
        <v>0.19711537391951253</v>
      </c>
      <c r="FR139" s="67">
        <f t="shared" si="193"/>
        <v>4.4788769352309141E-3</v>
      </c>
      <c r="FS139" s="9">
        <f t="shared" si="206"/>
        <v>430975.79691108025</v>
      </c>
      <c r="FT139" s="6">
        <v>0.46727345686186256</v>
      </c>
      <c r="FU139" s="6"/>
      <c r="FV139" s="6">
        <f t="shared" si="194"/>
        <v>2</v>
      </c>
      <c r="FW139" s="6">
        <f>FW138+30</f>
        <v>120</v>
      </c>
      <c r="FX139" s="6">
        <f t="shared" si="195"/>
        <v>7200</v>
      </c>
      <c r="FY139" s="6">
        <f t="shared" si="207"/>
        <v>1800</v>
      </c>
      <c r="FZ139" s="6">
        <f t="shared" si="196"/>
        <v>185765.42970305184</v>
      </c>
      <c r="GA139" s="6">
        <f t="shared" si="197"/>
        <v>1.8576542970305183</v>
      </c>
      <c r="GD139" s="73">
        <f>(GI139*(10^-3)*$FR$35*$FY$139/$GB$26)+GD138</f>
        <v>137583.88756578689</v>
      </c>
      <c r="GE139" s="73">
        <f>(GJ139*(10^-3)*$FR$35*$FY$139/$GB$26)+GE138</f>
        <v>251434.56570198719</v>
      </c>
      <c r="GF139" s="73">
        <f>(GK139*(10^-3)*$FR$35*$FY$139/$GB$26)+GF138</f>
        <v>728549.85094554792</v>
      </c>
      <c r="GG139" s="73">
        <f>(GL139*(10^-3)*$FR$35*$FY$139/$GB$26)+GG138</f>
        <v>435441.26036739536</v>
      </c>
      <c r="GH139" s="73">
        <f>(GM139*(10^-3)*$FR$35*$FY$139/$GB$26)+GH138</f>
        <v>447271.76345983089</v>
      </c>
      <c r="GI139" s="44">
        <v>0.13168562806789297</v>
      </c>
      <c r="GJ139" s="44">
        <v>5.2851605608395386E-2</v>
      </c>
      <c r="GK139" s="44">
        <v>0.55598670117364402</v>
      </c>
      <c r="GL139" s="44">
        <v>0.74380862598872677</v>
      </c>
      <c r="GM139" s="44">
        <v>0.40348651147304032</v>
      </c>
      <c r="GN139" s="45">
        <f t="shared" si="198"/>
        <v>59303.399812839183</v>
      </c>
      <c r="GO139" s="45">
        <f t="shared" si="144"/>
        <v>108376.96797499449</v>
      </c>
      <c r="GP139" s="45">
        <f t="shared" si="145"/>
        <v>314030.10816618445</v>
      </c>
      <c r="GQ139" s="45">
        <f t="shared" si="146"/>
        <v>187690.19843422214</v>
      </c>
      <c r="GR139" s="45">
        <f t="shared" si="147"/>
        <v>192789.55321544435</v>
      </c>
      <c r="GS139" s="7">
        <f t="shared" si="199"/>
        <v>86716.081500387882</v>
      </c>
      <c r="GT139" s="7">
        <f t="shared" si="200"/>
        <v>0.86716081500387876</v>
      </c>
    </row>
    <row r="140" spans="1:202" x14ac:dyDescent="0.3">
      <c r="A140" s="8">
        <f t="shared" si="148"/>
        <v>8.8351610891055312</v>
      </c>
      <c r="B140" s="67">
        <f t="shared" si="127"/>
        <v>0.20075348986833746</v>
      </c>
      <c r="C140" s="9">
        <f t="shared" si="149"/>
        <v>19317319.169482064</v>
      </c>
      <c r="D140" s="6">
        <v>15.552758444196503</v>
      </c>
      <c r="E140" s="6"/>
      <c r="F140" s="6">
        <f t="shared" si="150"/>
        <v>2.5</v>
      </c>
      <c r="G140" s="6">
        <f t="shared" si="208"/>
        <v>150</v>
      </c>
      <c r="H140" s="6">
        <f t="shared" si="151"/>
        <v>9000</v>
      </c>
      <c r="I140" s="6">
        <f t="shared" si="201"/>
        <v>1800</v>
      </c>
      <c r="J140" s="6">
        <f t="shared" si="152"/>
        <v>8326430.6765008904</v>
      </c>
      <c r="K140" s="6">
        <f t="shared" si="153"/>
        <v>83.264306765008911</v>
      </c>
      <c r="N140" s="73">
        <f>(S140*(10^-3)*$B$35*$I$140/$L$26)+N139</f>
        <v>19214624.529706765</v>
      </c>
      <c r="O140" s="73">
        <f>(T140*(10^-3)*$B$35*$I$140/$L$26)+O139</f>
        <v>19309990.697644159</v>
      </c>
      <c r="P140" s="73">
        <f>(U140*(10^-3)*$B$35*$I$140/$L$26)+P139</f>
        <v>19316994.563888878</v>
      </c>
      <c r="Q140" s="73">
        <f>(V140*(10^-3)*$B$35*$I$140/$L$26)+Q139</f>
        <v>19394546.994979981</v>
      </c>
      <c r="R140" s="73">
        <f>(W140*(10^-3)*$B$35*$I$140/$L$26)+R139</f>
        <v>19421877.790797297</v>
      </c>
      <c r="S140" s="44">
        <v>15.447402387461617</v>
      </c>
      <c r="T140" s="44">
        <v>15.603308686511198</v>
      </c>
      <c r="U140" s="44">
        <v>15.62073963575906</v>
      </c>
      <c r="V140" s="44">
        <v>15.563803097105366</v>
      </c>
      <c r="W140" s="44">
        <v>15.689693854417255</v>
      </c>
      <c r="X140" s="45">
        <f t="shared" si="154"/>
        <v>8282165.7455632612</v>
      </c>
      <c r="Y140" s="45">
        <f t="shared" si="128"/>
        <v>8323271.8524328275</v>
      </c>
      <c r="Z140" s="45">
        <f t="shared" si="128"/>
        <v>8326290.7602969306</v>
      </c>
      <c r="AA140" s="45">
        <f t="shared" si="128"/>
        <v>8359718.5323189581</v>
      </c>
      <c r="AB140" s="45">
        <f t="shared" si="128"/>
        <v>8371499.0477574561</v>
      </c>
      <c r="AC140" s="7">
        <f t="shared" si="155"/>
        <v>31365.538383055642</v>
      </c>
      <c r="AD140" s="7">
        <f t="shared" si="156"/>
        <v>0.31365538383055641</v>
      </c>
      <c r="AF140" s="11">
        <f t="shared" si="157"/>
        <v>3.9410099533774334E-2</v>
      </c>
      <c r="AG140" s="11">
        <f t="shared" si="158"/>
        <v>3.9605700034047273E-2</v>
      </c>
      <c r="AI140">
        <f t="shared" si="159"/>
        <v>9.7800250136469147E-5</v>
      </c>
      <c r="BR140" s="8">
        <f t="shared" si="160"/>
        <v>6.8540289985461396</v>
      </c>
      <c r="BS140" s="67">
        <f t="shared" si="161"/>
        <v>0.15573799133256397</v>
      </c>
      <c r="BT140" s="9">
        <f t="shared" si="162"/>
        <v>14985744.394073701</v>
      </c>
      <c r="BU140" s="6">
        <v>13.002112464174443</v>
      </c>
      <c r="BV140" s="6"/>
      <c r="BW140" s="6">
        <f t="shared" si="163"/>
        <v>2.5</v>
      </c>
      <c r="BX140" s="6">
        <f>BX139+30</f>
        <v>150</v>
      </c>
      <c r="BY140" s="6">
        <f t="shared" si="164"/>
        <v>9000</v>
      </c>
      <c r="BZ140" s="6">
        <f t="shared" si="165"/>
        <v>1800</v>
      </c>
      <c r="CA140" s="6">
        <f t="shared" si="166"/>
        <v>6459372.5836524572</v>
      </c>
      <c r="CB140" s="6">
        <f t="shared" si="167"/>
        <v>64.59372583652457</v>
      </c>
      <c r="CE140" s="73">
        <f>(CJ140*(10^-3)*$BS$35*$BZ$140/$CC$26)+CE139</f>
        <v>14982319.809098275</v>
      </c>
      <c r="CF140" s="73">
        <f>(CK140*(10^-3)*$BS$35*$BZ$140/$CC$26)+CF139</f>
        <v>14930216.313921537</v>
      </c>
      <c r="CG140" s="73">
        <f>(CL140*(10^-3)*$BS$35*$BZ$140/$CC$26)+CG139</f>
        <v>15000246.450227696</v>
      </c>
      <c r="CH140" s="73">
        <f>(CM140*(10^-3)*$BS$35*$BZ$140/$CC$26)+CH139</f>
        <v>15036050.228089647</v>
      </c>
      <c r="CI140" s="73">
        <f>(CN140*(10^-3)*$BS$35*$BZ$140/$CC$26)+CI139</f>
        <v>14955482.041436357</v>
      </c>
      <c r="CJ140" s="44">
        <v>13.037580823767916</v>
      </c>
      <c r="CK140" s="44">
        <v>12.952071832810001</v>
      </c>
      <c r="CL140" s="44">
        <v>12.986434023921372</v>
      </c>
      <c r="CM140" s="44">
        <v>13.138471005172532</v>
      </c>
      <c r="CN140" s="44">
        <v>12.994991403561079</v>
      </c>
      <c r="CO140" s="45">
        <f t="shared" si="168"/>
        <v>6457896.4694389123</v>
      </c>
      <c r="CP140" s="45">
        <f t="shared" si="129"/>
        <v>6435438.0663454905</v>
      </c>
      <c r="CQ140" s="45">
        <f t="shared" si="130"/>
        <v>6465623.4699257314</v>
      </c>
      <c r="CR140" s="45">
        <f t="shared" si="131"/>
        <v>6481056.1327972626</v>
      </c>
      <c r="CS140" s="45">
        <f t="shared" si="132"/>
        <v>6446328.4661363615</v>
      </c>
      <c r="CT140" s="7">
        <f t="shared" si="169"/>
        <v>15699.066957324547</v>
      </c>
      <c r="CU140" s="7">
        <f t="shared" si="170"/>
        <v>0.15699066957324548</v>
      </c>
      <c r="CW140" s="11">
        <f t="shared" si="171"/>
        <v>8.1945182120424925E-2</v>
      </c>
      <c r="CX140" s="11">
        <f t="shared" si="172"/>
        <v>8.1660204196060002E-2</v>
      </c>
      <c r="CY140">
        <f t="shared" si="133"/>
        <v>1.4248896218246182E-4</v>
      </c>
      <c r="DA140" s="8">
        <f t="shared" si="173"/>
        <v>1.6871472119037221</v>
      </c>
      <c r="DB140" s="67">
        <f t="shared" si="134"/>
        <v>3.8335542192768059E-2</v>
      </c>
      <c r="DC140" s="9">
        <f t="shared" si="202"/>
        <v>3688802.145150871</v>
      </c>
      <c r="DD140" s="6">
        <v>3.0300365914620304</v>
      </c>
      <c r="DE140" s="6"/>
      <c r="DF140" s="6">
        <f t="shared" si="174"/>
        <v>2.5</v>
      </c>
      <c r="DG140" s="6">
        <f>DG139+30</f>
        <v>150</v>
      </c>
      <c r="DH140" s="6">
        <f t="shared" si="175"/>
        <v>9000</v>
      </c>
      <c r="DI140" s="6">
        <f t="shared" si="203"/>
        <v>1800</v>
      </c>
      <c r="DJ140" s="6">
        <f t="shared" si="176"/>
        <v>1590000.9246339963</v>
      </c>
      <c r="DK140" s="6">
        <f t="shared" si="177"/>
        <v>15.900009246339962</v>
      </c>
      <c r="DN140" s="73">
        <f>(DS140*(10^-3)*$DB$35*$DI$140/$DL$26)+DN139</f>
        <v>3635531.4333970007</v>
      </c>
      <c r="DO140" s="73">
        <f>(DT140*(10^-3)*$DB$35*$DI$140/$DL$26)+DO139</f>
        <v>3823119.1600169176</v>
      </c>
      <c r="DP140" s="73">
        <f>(DU140*(10^-3)*$DB$35*$DI$140/$DL$26)+DP139</f>
        <v>3614557.2267410792</v>
      </c>
      <c r="DQ140" s="73">
        <f>(DV140*(10^-3)*$DB$35*$DI$140/$DL$26)+DQ139</f>
        <v>3487175.4110899777</v>
      </c>
      <c r="DR140" s="73">
        <f>(DW140*(10^-3)*$DB$35*$DI$140/$DL$26)+DR139</f>
        <v>3658605.7685063835</v>
      </c>
      <c r="DS140" s="44">
        <v>3.0300365914620304</v>
      </c>
      <c r="DT140" s="44">
        <v>3.1507872797470124</v>
      </c>
      <c r="DU140" s="44">
        <v>2.9996262964404021</v>
      </c>
      <c r="DV140" s="44">
        <v>2.7218425701666447</v>
      </c>
      <c r="DW140" s="44">
        <v>2.9996262964404021</v>
      </c>
      <c r="DX140" s="45">
        <f t="shared" si="178"/>
        <v>1567039.4109469831</v>
      </c>
      <c r="DY140" s="45">
        <f t="shared" si="135"/>
        <v>1647896.1896624647</v>
      </c>
      <c r="DZ140" s="45">
        <f t="shared" si="136"/>
        <v>1557998.8046297757</v>
      </c>
      <c r="EA140" s="45">
        <f t="shared" si="137"/>
        <v>1503092.8496077491</v>
      </c>
      <c r="EB140" s="45">
        <f t="shared" si="138"/>
        <v>1576985.2450458552</v>
      </c>
      <c r="EC140" s="7">
        <f t="shared" si="179"/>
        <v>46355.486261340979</v>
      </c>
      <c r="ED140" s="7">
        <f t="shared" si="180"/>
        <v>0.46355486261340978</v>
      </c>
      <c r="EF140" s="11">
        <f t="shared" si="181"/>
        <v>4.9710974203296121E-3</v>
      </c>
      <c r="EG140" s="11">
        <f t="shared" si="182"/>
        <v>5.2275982596070303E-3</v>
      </c>
      <c r="EH140">
        <f t="shared" si="139"/>
        <v>1.2825041963870909E-4</v>
      </c>
      <c r="EI140" s="8">
        <f t="shared" si="183"/>
        <v>0.35343245924520389</v>
      </c>
      <c r="EJ140" s="67">
        <f t="shared" si="184"/>
        <v>8.0307307258623926E-3</v>
      </c>
      <c r="EK140" s="9">
        <f t="shared" si="204"/>
        <v>772749.64782625891</v>
      </c>
      <c r="EL140" s="6">
        <v>0.64015335282553854</v>
      </c>
      <c r="EM140" s="6"/>
      <c r="EN140" s="6">
        <f t="shared" si="185"/>
        <v>2.5</v>
      </c>
      <c r="EO140" s="6">
        <f>EO139+30</f>
        <v>150</v>
      </c>
      <c r="EP140" s="6">
        <f t="shared" si="186"/>
        <v>9000</v>
      </c>
      <c r="EQ140" s="6">
        <f t="shared" si="205"/>
        <v>1800</v>
      </c>
      <c r="ER140" s="6">
        <f t="shared" si="187"/>
        <v>333081.74475269782</v>
      </c>
      <c r="ES140" s="6">
        <f t="shared" si="188"/>
        <v>3.3308174475269783</v>
      </c>
      <c r="EV140" s="73">
        <f>(FA140*(10^-3)*$EJ$35*$EQ$140/$ET$26)+EV139</f>
        <v>810662.39327344508</v>
      </c>
      <c r="EW140" s="73">
        <f>(FB140*(10^-3)*$EJ$35*$EQ$140/$ET$26)+EW139</f>
        <v>705190.54977263743</v>
      </c>
      <c r="EX140" s="73">
        <f>(FC140*(10^-3)*$EJ$35*$EQ$140/$ET$26)+EX139</f>
        <v>840842.82265748561</v>
      </c>
      <c r="EY140" s="73">
        <f>(FD140*(10^-3)*$EJ$35*$EQ$140/$ET$26)+EY139</f>
        <v>709008.05626045028</v>
      </c>
      <c r="EZ140" s="73">
        <f>(FE140*(10^-3)*$EJ$35*$EQ$140/$ET$26)+EZ139</f>
        <v>819858.00710902933</v>
      </c>
      <c r="FA140" s="44">
        <v>0.67760415731041468</v>
      </c>
      <c r="FB140" s="44">
        <v>0.52705933928210802</v>
      </c>
      <c r="FC140" s="44">
        <v>0.67760415731041468</v>
      </c>
      <c r="FD140" s="44">
        <v>0.52705933928210802</v>
      </c>
      <c r="FE140" s="44">
        <v>0.82618747933836356</v>
      </c>
      <c r="FF140" s="45">
        <f t="shared" si="189"/>
        <v>349423.44537648495</v>
      </c>
      <c r="FG140" s="45">
        <f t="shared" si="140"/>
        <v>303961.44386751618</v>
      </c>
      <c r="FH140" s="45">
        <f t="shared" si="141"/>
        <v>362432.25114546798</v>
      </c>
      <c r="FI140" s="45">
        <f t="shared" si="142"/>
        <v>305606.92080191826</v>
      </c>
      <c r="FJ140" s="45">
        <f t="shared" si="143"/>
        <v>353387.07202975405</v>
      </c>
      <c r="FK140" s="7">
        <f t="shared" si="190"/>
        <v>25003.945827272386</v>
      </c>
      <c r="FL140" s="7">
        <f t="shared" si="191"/>
        <v>0.25003945827272384</v>
      </c>
      <c r="FQ140" s="8">
        <f t="shared" si="192"/>
        <v>0.25068588579402445</v>
      </c>
      <c r="FR140" s="67">
        <f t="shared" si="193"/>
        <v>5.6961119244268226E-3</v>
      </c>
      <c r="FS140" s="9">
        <f t="shared" si="206"/>
        <v>548103.10964661324</v>
      </c>
      <c r="FT140" s="6">
        <v>0.46814929779466474</v>
      </c>
      <c r="FU140" s="6"/>
      <c r="FV140" s="6">
        <f t="shared" si="194"/>
        <v>2.5</v>
      </c>
      <c r="FW140" s="6">
        <f>FW139+30</f>
        <v>150</v>
      </c>
      <c r="FX140" s="6">
        <f t="shared" si="195"/>
        <v>9000</v>
      </c>
      <c r="FY140" s="6">
        <f t="shared" si="207"/>
        <v>1800</v>
      </c>
      <c r="FZ140" s="6">
        <f t="shared" si="196"/>
        <v>236251.34036491951</v>
      </c>
      <c r="GA140" s="6">
        <f t="shared" si="197"/>
        <v>2.3625134036491953</v>
      </c>
      <c r="GD140" s="73">
        <f>(GI140*(10^-3)*$FR$35*$FY$140/$GB$26)+GD139</f>
        <v>219101.50228064085</v>
      </c>
      <c r="GE140" s="73">
        <f>(GJ140*(10^-3)*$FR$35*$FY$140/$GB$26)+GE139</f>
        <v>409110.24621021346</v>
      </c>
      <c r="GF140" s="73">
        <f>(GK140*(10^-3)*$FR$35*$FY$140/$GB$26)+GF139</f>
        <v>800404.9110628675</v>
      </c>
      <c r="GG140" s="73">
        <f>(GL140*(10^-3)*$FR$35*$FY$140/$GB$26)+GG139</f>
        <v>458496.35987027828</v>
      </c>
      <c r="GH140" s="73">
        <f>(GM140*(10^-3)*$FR$35*$FY$140/$GB$26)+GH139</f>
        <v>614326.74674302002</v>
      </c>
      <c r="GI140" s="44">
        <v>0.32581994067279219</v>
      </c>
      <c r="GJ140" s="44">
        <v>0.63021815651054836</v>
      </c>
      <c r="GK140" s="44">
        <v>0.28719941703837593</v>
      </c>
      <c r="GL140" s="44">
        <v>9.214954557380893E-2</v>
      </c>
      <c r="GM140" s="44">
        <v>0.66770654333810975</v>
      </c>
      <c r="GN140" s="45">
        <f t="shared" si="198"/>
        <v>94440.302707172785</v>
      </c>
      <c r="GO140" s="45">
        <f t="shared" si="144"/>
        <v>176340.62336647132</v>
      </c>
      <c r="GP140" s="45">
        <f t="shared" si="145"/>
        <v>345002.11683744291</v>
      </c>
      <c r="GQ140" s="45">
        <f t="shared" si="146"/>
        <v>197627.74132339584</v>
      </c>
      <c r="GR140" s="45">
        <f t="shared" si="147"/>
        <v>264796.01152716379</v>
      </c>
      <c r="GS140" s="7">
        <f t="shared" si="199"/>
        <v>84509.312886777363</v>
      </c>
      <c r="GT140" s="7">
        <f t="shared" si="200"/>
        <v>0.84509312886777366</v>
      </c>
    </row>
    <row r="141" spans="1:202" x14ac:dyDescent="0.3">
      <c r="A141" s="8">
        <f t="shared" si="148"/>
        <v>10.647694029561558</v>
      </c>
      <c r="B141" s="67">
        <f t="shared" si="127"/>
        <v>0.24193806020362549</v>
      </c>
      <c r="C141" s="9">
        <f t="shared" si="149"/>
        <v>23280266.416608445</v>
      </c>
      <c r="D141" s="6">
        <v>15.839610143951395</v>
      </c>
      <c r="E141" s="6"/>
      <c r="F141" s="6">
        <f t="shared" si="150"/>
        <v>3</v>
      </c>
      <c r="G141" s="6">
        <f t="shared" si="208"/>
        <v>180</v>
      </c>
      <c r="H141" s="6">
        <f t="shared" si="151"/>
        <v>10800</v>
      </c>
      <c r="I141" s="6">
        <f t="shared" si="201"/>
        <v>1800</v>
      </c>
      <c r="J141" s="6">
        <f t="shared" si="152"/>
        <v>10034597.59336571</v>
      </c>
      <c r="K141" s="6">
        <f t="shared" si="153"/>
        <v>100.3459759336571</v>
      </c>
      <c r="N141" s="73">
        <f>(S141*(10^-3)*$B$35*$I$141/$L$26)+N140</f>
        <v>23151708.546016891</v>
      </c>
      <c r="O141" s="73">
        <f>(T141*(10^-3)*$B$35*$I$141/$L$26)+O140</f>
        <v>23304055.090500806</v>
      </c>
      <c r="P141" s="73">
        <f>(U141*(10^-3)*$B$35*$I$141/$L$26)+P140</f>
        <v>23314016.035110477</v>
      </c>
      <c r="Q141" s="73">
        <f>(V141*(10^-3)*$B$35*$I$141/$L$26)+Q140</f>
        <v>23350323.149982315</v>
      </c>
      <c r="R141" s="73">
        <f>(W141*(10^-3)*$B$35*$I$141/$L$26)+R140</f>
        <v>23361056.87013267</v>
      </c>
      <c r="S141" s="44">
        <v>15.73623670301307</v>
      </c>
      <c r="T141" s="44">
        <v>15.963983098327043</v>
      </c>
      <c r="U141" s="44">
        <v>15.975802324156991</v>
      </c>
      <c r="V141" s="44">
        <v>15.810947813501846</v>
      </c>
      <c r="W141" s="44">
        <v>15.744610516611264</v>
      </c>
      <c r="X141" s="45">
        <f t="shared" si="154"/>
        <v>9979184.718110729</v>
      </c>
      <c r="Y141" s="45">
        <f t="shared" si="128"/>
        <v>10044851.332112417</v>
      </c>
      <c r="Z141" s="45">
        <f t="shared" si="128"/>
        <v>10049144.842720034</v>
      </c>
      <c r="AA141" s="45">
        <f t="shared" si="128"/>
        <v>10064794.461199274</v>
      </c>
      <c r="AB141" s="45">
        <f t="shared" si="128"/>
        <v>10069421.064712359</v>
      </c>
      <c r="AC141" s="7">
        <f t="shared" si="155"/>
        <v>32481.025339439508</v>
      </c>
      <c r="AD141" s="7">
        <f t="shared" si="156"/>
        <v>0.32481025339439507</v>
      </c>
      <c r="AF141" s="11">
        <f t="shared" si="157"/>
        <v>4.7485244208900705E-2</v>
      </c>
      <c r="AG141" s="11">
        <f t="shared" si="158"/>
        <v>4.7797714144103193E-2</v>
      </c>
      <c r="AI141">
        <f t="shared" si="159"/>
        <v>1.5623496760124381E-4</v>
      </c>
      <c r="BR141" s="8">
        <f t="shared" si="160"/>
        <v>8.501185149121028</v>
      </c>
      <c r="BS141" s="67">
        <f t="shared" si="161"/>
        <v>0.19316485228632194</v>
      </c>
      <c r="BT141" s="9">
        <f t="shared" si="162"/>
        <v>18587109.526155505</v>
      </c>
      <c r="BU141" s="6">
        <v>14.394392890180356</v>
      </c>
      <c r="BV141" s="6"/>
      <c r="BW141" s="6">
        <f t="shared" si="163"/>
        <v>3</v>
      </c>
      <c r="BX141" s="6">
        <f>BX140+30</f>
        <v>180</v>
      </c>
      <c r="BY141" s="6">
        <f t="shared" si="164"/>
        <v>10800</v>
      </c>
      <c r="BZ141" s="6">
        <f t="shared" si="165"/>
        <v>1800</v>
      </c>
      <c r="CA141" s="6">
        <f t="shared" si="166"/>
        <v>8011685.1405842705</v>
      </c>
      <c r="CB141" s="6">
        <f t="shared" si="167"/>
        <v>80.116851405842709</v>
      </c>
      <c r="CE141" s="73">
        <f>(CJ141*(10^-3)*$BS$35*$BZ$141/$CC$26)+CE140</f>
        <v>18510640.677276723</v>
      </c>
      <c r="CF141" s="73">
        <f>(CK141*(10^-3)*$BS$35*$BZ$141/$CC$26)+CF140</f>
        <v>18837467.999361843</v>
      </c>
      <c r="CG141" s="73">
        <f>(CL141*(10^-3)*$BS$35*$BZ$141/$CC$26)+CG140</f>
        <v>18626396.818975937</v>
      </c>
      <c r="CH141" s="73">
        <f>(CM141*(10^-3)*$BS$35*$BZ$141/$CC$26)+CH140</f>
        <v>18378898.263124742</v>
      </c>
      <c r="CI141" s="73">
        <f>(CN141*(10^-3)*$BS$35*$BZ$141/$CC$26)+CI140</f>
        <v>18483802.909614805</v>
      </c>
      <c r="CJ141" s="44">
        <v>14.10244031263343</v>
      </c>
      <c r="CK141" s="44">
        <v>15.616999059613709</v>
      </c>
      <c r="CL141" s="44">
        <v>14.493457667387924</v>
      </c>
      <c r="CM141" s="44">
        <v>13.361118971196163</v>
      </c>
      <c r="CN141" s="44">
        <v>14.10244031263343</v>
      </c>
      <c r="CO141" s="45">
        <f t="shared" si="168"/>
        <v>7978724.4298606571</v>
      </c>
      <c r="CP141" s="45">
        <f t="shared" si="129"/>
        <v>8119598.2755870018</v>
      </c>
      <c r="CQ141" s="45">
        <f t="shared" si="130"/>
        <v>8028619.3185241111</v>
      </c>
      <c r="CR141" s="45">
        <f t="shared" si="131"/>
        <v>7921938.9065192854</v>
      </c>
      <c r="CS141" s="45">
        <f t="shared" si="132"/>
        <v>7967156.4265581062</v>
      </c>
      <c r="CT141" s="7">
        <f t="shared" si="169"/>
        <v>67373.968368408488</v>
      </c>
      <c r="CU141" s="7">
        <f t="shared" si="170"/>
        <v>0.67373968368408488</v>
      </c>
      <c r="CW141" s="11">
        <f t="shared" si="171"/>
        <v>0.10124318802379646</v>
      </c>
      <c r="CX141" s="11">
        <f t="shared" si="172"/>
        <v>0.10303075662274816</v>
      </c>
      <c r="CY141">
        <f t="shared" si="133"/>
        <v>8.9378429947584853E-4</v>
      </c>
      <c r="DA141" s="8">
        <f t="shared" si="173"/>
        <v>2.0374462383429273</v>
      </c>
      <c r="DB141" s="67">
        <f t="shared" si="134"/>
        <v>4.6295074718085152E-2</v>
      </c>
      <c r="DC141" s="9">
        <f t="shared" si="202"/>
        <v>4454700.8118802216</v>
      </c>
      <c r="DD141" s="6">
        <v>3.0612409235479778</v>
      </c>
      <c r="DE141" s="6"/>
      <c r="DF141" s="6">
        <f t="shared" si="174"/>
        <v>3</v>
      </c>
      <c r="DG141" s="6">
        <f>DG140+30</f>
        <v>180</v>
      </c>
      <c r="DH141" s="6">
        <f t="shared" si="175"/>
        <v>10800</v>
      </c>
      <c r="DI141" s="6">
        <f t="shared" si="203"/>
        <v>1800</v>
      </c>
      <c r="DJ141" s="6">
        <f t="shared" si="176"/>
        <v>1920129.6602931991</v>
      </c>
      <c r="DK141" s="6">
        <f t="shared" si="177"/>
        <v>19.20129660293199</v>
      </c>
      <c r="DN141" s="73">
        <f>(DS141*(10^-3)*$DB$35*$DI$141/$DL$26)+DN140</f>
        <v>4360873.3304756973</v>
      </c>
      <c r="DO141" s="73">
        <f>(DT141*(10^-3)*$DB$35*$DI$141/$DL$26)+DO140</f>
        <v>4533086.5461637834</v>
      </c>
      <c r="DP141" s="73">
        <f>(DU141*(10^-3)*$DB$35*$DI$141/$DL$26)+DP140</f>
        <v>4385480.8236308889</v>
      </c>
      <c r="DQ141" s="73">
        <f>(DV141*(10^-3)*$DB$35*$DI$141/$DL$26)+DQ140</f>
        <v>4288043.190337453</v>
      </c>
      <c r="DR141" s="73">
        <f>(DW141*(10^-3)*$DB$35*$DI$141/$DL$26)+DR140</f>
        <v>4406839.3599592457</v>
      </c>
      <c r="DS141" s="44">
        <v>2.8991384831407219</v>
      </c>
      <c r="DT141" s="44">
        <v>2.8376876880309188</v>
      </c>
      <c r="DU141" s="44">
        <v>3.0813252016821271</v>
      </c>
      <c r="DV141" s="44">
        <v>3.201009907293269</v>
      </c>
      <c r="DW141" s="44">
        <v>2.9906349103728003</v>
      </c>
      <c r="DX141" s="45">
        <f t="shared" si="178"/>
        <v>1879686.7803774558</v>
      </c>
      <c r="DY141" s="45">
        <f t="shared" si="135"/>
        <v>1953916.6147257688</v>
      </c>
      <c r="DZ141" s="45">
        <f t="shared" si="136"/>
        <v>1890293.4584615901</v>
      </c>
      <c r="EA141" s="45">
        <f t="shared" si="137"/>
        <v>1848294.4785937299</v>
      </c>
      <c r="EB141" s="45">
        <f t="shared" si="138"/>
        <v>1899499.7241203645</v>
      </c>
      <c r="EC141" s="7">
        <f t="shared" si="179"/>
        <v>34430.443344478743</v>
      </c>
      <c r="ED141" s="7">
        <f t="shared" si="180"/>
        <v>0.34430443344478745</v>
      </c>
      <c r="EF141" s="11">
        <f t="shared" si="181"/>
        <v>5.9629043403032697E-3</v>
      </c>
      <c r="EG141" s="11">
        <f t="shared" si="182"/>
        <v>6.1983826157458758E-3</v>
      </c>
      <c r="EH141">
        <f t="shared" si="139"/>
        <v>1.1773913772130306E-4</v>
      </c>
      <c r="EI141" s="8">
        <f t="shared" si="183"/>
        <v>0.43094507239205243</v>
      </c>
      <c r="EJ141" s="67">
        <f t="shared" si="184"/>
        <v>9.7919807405601553E-3</v>
      </c>
      <c r="EK141" s="9">
        <f t="shared" si="204"/>
        <v>942224.30400028161</v>
      </c>
      <c r="EL141" s="6">
        <v>0.67737779881456928</v>
      </c>
      <c r="EM141" s="6"/>
      <c r="EN141" s="6">
        <f t="shared" si="185"/>
        <v>3</v>
      </c>
      <c r="EO141" s="6">
        <f>EO140+30</f>
        <v>180</v>
      </c>
      <c r="EP141" s="6">
        <f t="shared" si="186"/>
        <v>10800</v>
      </c>
      <c r="EQ141" s="6">
        <f t="shared" si="205"/>
        <v>1800</v>
      </c>
      <c r="ER141" s="6">
        <f t="shared" si="187"/>
        <v>406131.16551736277</v>
      </c>
      <c r="ES141" s="6">
        <f t="shared" si="188"/>
        <v>4.0613116551736272</v>
      </c>
      <c r="EV141" s="73">
        <f>(FA141*(10^-3)*$EJ$35*$EQ$141/$ET$26)+EV140</f>
        <v>1143637.8957230605</v>
      </c>
      <c r="EW141" s="73">
        <f>(FB141*(10^-3)*$EJ$35*$EQ$141/$ET$26)+EW140</f>
        <v>740670.10523310781</v>
      </c>
      <c r="EX141" s="73">
        <f>(FC141*(10^-3)*$EJ$35*$EQ$141/$ET$26)+EX140</f>
        <v>1000950.7089481775</v>
      </c>
      <c r="EY141" s="73">
        <f>(FD141*(10^-3)*$EJ$35*$EQ$141/$ET$26)+EY140</f>
        <v>887818.82185992319</v>
      </c>
      <c r="EZ141" s="73">
        <f>(FE141*(10^-3)*$EJ$35*$EQ$141/$ET$26)+EZ140</f>
        <v>1044894.6391819033</v>
      </c>
      <c r="FA141" s="44">
        <v>1.33087871661998</v>
      </c>
      <c r="FB141" s="44">
        <v>0.14180918683236543</v>
      </c>
      <c r="FC141" s="44">
        <v>0.63993950503772223</v>
      </c>
      <c r="FD141" s="44">
        <v>0.71469354498495619</v>
      </c>
      <c r="FE141" s="44">
        <v>0.89945495053633207</v>
      </c>
      <c r="FF141" s="45">
        <f t="shared" si="189"/>
        <v>492947.3688461468</v>
      </c>
      <c r="FG141" s="45">
        <f t="shared" si="140"/>
        <v>319254.35570392583</v>
      </c>
      <c r="FH141" s="45">
        <f t="shared" si="141"/>
        <v>431444.27109835239</v>
      </c>
      <c r="FI141" s="45">
        <f t="shared" si="142"/>
        <v>382680.52666376001</v>
      </c>
      <c r="FJ141" s="45">
        <f t="shared" si="143"/>
        <v>450385.6203370273</v>
      </c>
      <c r="FK141" s="7">
        <f t="shared" si="190"/>
        <v>59681.720753580157</v>
      </c>
      <c r="FL141" s="7">
        <f t="shared" si="191"/>
        <v>0.59681720753580159</v>
      </c>
      <c r="FQ141" s="8">
        <f t="shared" si="192"/>
        <v>0.31475063867411801</v>
      </c>
      <c r="FR141" s="67">
        <f t="shared" si="193"/>
        <v>7.1517981975486936E-3</v>
      </c>
      <c r="FS141" s="9">
        <f t="shared" si="206"/>
        <v>688175.1769714267</v>
      </c>
      <c r="FT141" s="6">
        <v>0.55985780282368758</v>
      </c>
      <c r="FU141" s="6"/>
      <c r="FV141" s="6">
        <f t="shared" si="194"/>
        <v>3</v>
      </c>
      <c r="FW141" s="6">
        <f>FW140+30</f>
        <v>180</v>
      </c>
      <c r="FX141" s="6">
        <f t="shared" si="195"/>
        <v>10800</v>
      </c>
      <c r="FY141" s="6">
        <f t="shared" si="207"/>
        <v>1800</v>
      </c>
      <c r="FZ141" s="6">
        <f t="shared" si="196"/>
        <v>296627.23145320121</v>
      </c>
      <c r="GA141" s="6">
        <f t="shared" si="197"/>
        <v>2.966272314532012</v>
      </c>
      <c r="GD141" s="73">
        <f>(GI141*(10^-3)*$FR$35*$FY$141/$GB$26)+GD140</f>
        <v>348151.37172522431</v>
      </c>
      <c r="GE141" s="73">
        <f>(GJ141*(10^-3)*$FR$35*$FY$141/$GB$26)+GE140</f>
        <v>667688.71848603035</v>
      </c>
      <c r="GF141" s="73">
        <f>(GK141*(10^-3)*$FR$35*$FY$141/$GB$26)+GF140</f>
        <v>976396.40650427365</v>
      </c>
      <c r="GG141" s="73">
        <f>(GL141*(10^-3)*$FR$35*$FY$141/$GB$26)+GG140</f>
        <v>501069.84695086413</v>
      </c>
      <c r="GH141" s="73">
        <f>(GM141*(10^-3)*$FR$35*$FY$141/$GB$26)+GH140</f>
        <v>686013.94921948586</v>
      </c>
      <c r="GI141" s="44">
        <v>0.51580288448508826</v>
      </c>
      <c r="GJ141" s="44">
        <v>1.0335192312835917</v>
      </c>
      <c r="GK141" s="44">
        <v>0.70342512847332206</v>
      </c>
      <c r="GL141" s="44">
        <v>0.1701631123941949</v>
      </c>
      <c r="GM141" s="44">
        <v>0.28652850233146543</v>
      </c>
      <c r="GN141" s="45">
        <f t="shared" si="198"/>
        <v>150065.24643328635</v>
      </c>
      <c r="GO141" s="45">
        <f t="shared" si="144"/>
        <v>287796.86141639244</v>
      </c>
      <c r="GP141" s="45">
        <f t="shared" si="145"/>
        <v>420860.52004494559</v>
      </c>
      <c r="GQ141" s="45">
        <f t="shared" si="146"/>
        <v>215978.38230640697</v>
      </c>
      <c r="GR141" s="45">
        <f t="shared" si="147"/>
        <v>295695.66776701977</v>
      </c>
      <c r="GS141" s="7">
        <f t="shared" si="199"/>
        <v>90504.549635267918</v>
      </c>
      <c r="GT141" s="7">
        <f t="shared" si="200"/>
        <v>0.90504549635267917</v>
      </c>
    </row>
    <row r="142" spans="1:202" x14ac:dyDescent="0.3">
      <c r="A142" s="8">
        <f t="shared" si="148"/>
        <v>12.61168990200464</v>
      </c>
      <c r="B142" s="67">
        <f t="shared" si="127"/>
        <v>0.28656418773016679</v>
      </c>
      <c r="C142" s="9">
        <f t="shared" si="149"/>
        <v>27574374.326232236</v>
      </c>
      <c r="D142" s="6">
        <v>17.163235078089805</v>
      </c>
      <c r="E142" s="6"/>
      <c r="F142" s="6">
        <f t="shared" si="150"/>
        <v>3.5</v>
      </c>
      <c r="G142" s="6">
        <f t="shared" si="208"/>
        <v>210</v>
      </c>
      <c r="H142" s="6">
        <f t="shared" si="151"/>
        <v>12600</v>
      </c>
      <c r="I142" s="6">
        <f t="shared" si="201"/>
        <v>1800</v>
      </c>
      <c r="J142" s="6">
        <f t="shared" si="152"/>
        <v>11885506.175100103</v>
      </c>
      <c r="K142" s="6">
        <f t="shared" si="153"/>
        <v>118.85506175100103</v>
      </c>
      <c r="N142" s="73">
        <f>(S142*(10^-3)*$B$35*$I$142/$L$26)+N141</f>
        <v>27414250.551707514</v>
      </c>
      <c r="O142" s="73">
        <f>(T142*(10^-3)*$B$35*$I$142/$L$26)+O141</f>
        <v>27608849.020848393</v>
      </c>
      <c r="P142" s="73">
        <f>(U142*(10^-3)*$B$35*$I$142/$L$26)+P141</f>
        <v>27638758.451287434</v>
      </c>
      <c r="Q142" s="73">
        <f>(V142*(10^-3)*$B$35*$I$142/$L$26)+Q141</f>
        <v>27655117.080329902</v>
      </c>
      <c r="R142" s="73">
        <f>(W142*(10^-3)*$B$35*$I$142/$L$26)+R141</f>
        <v>27644367.629096296</v>
      </c>
      <c r="S142" s="44">
        <v>17.037068470016649</v>
      </c>
      <c r="T142" s="44">
        <v>17.205946320935102</v>
      </c>
      <c r="U142" s="44">
        <v>17.285678958993426</v>
      </c>
      <c r="V142" s="44">
        <v>17.205946320935102</v>
      </c>
      <c r="W142" s="44">
        <v>17.120079657021165</v>
      </c>
      <c r="X142" s="45">
        <f t="shared" ref="X142:X151" si="209">N142/2.32</f>
        <v>11816487.306770481</v>
      </c>
      <c r="Y142" s="45">
        <f t="shared" ref="Y142:Y151" si="210">O142/2.32</f>
        <v>11900365.957262238</v>
      </c>
      <c r="Z142" s="45">
        <f t="shared" ref="Z142:Z151" si="211">P142/2.32</f>
        <v>11913257.953141136</v>
      </c>
      <c r="AA142" s="45">
        <f t="shared" ref="AA142:AA151" si="212">Q142/2.32</f>
        <v>11920309.086349096</v>
      </c>
      <c r="AB142" s="45">
        <f t="shared" ref="AB142:AB151" si="213">R142/2.32</f>
        <v>11915675.70219668</v>
      </c>
      <c r="AC142" s="7">
        <f t="shared" si="155"/>
        <v>38932.165721211713</v>
      </c>
      <c r="AD142" s="7">
        <f t="shared" si="156"/>
        <v>0.38932165721211714</v>
      </c>
      <c r="AF142" s="11">
        <f t="shared" si="157"/>
        <v>5.622791854278867E-2</v>
      </c>
      <c r="AG142" s="11">
        <f t="shared" si="158"/>
        <v>5.6627049164680615E-2</v>
      </c>
      <c r="AI142">
        <f t="shared" si="159"/>
        <v>1.995653109459726E-4</v>
      </c>
      <c r="BR142" s="8"/>
      <c r="BS142" s="67"/>
      <c r="BT142" s="9"/>
      <c r="BU142" s="6"/>
      <c r="BV142" s="6"/>
      <c r="BW142" s="6"/>
      <c r="BX142" s="6"/>
      <c r="BY142" s="6"/>
      <c r="BZ142" s="6"/>
      <c r="CA142" s="6"/>
      <c r="CB142" s="6"/>
      <c r="CE142" s="73"/>
      <c r="CF142" s="73"/>
      <c r="CG142" s="73"/>
      <c r="CH142" s="73"/>
      <c r="CI142" s="73"/>
      <c r="CJ142" s="44"/>
      <c r="CK142" s="44"/>
      <c r="CL142" s="44"/>
      <c r="CM142" s="44"/>
      <c r="CN142" s="44"/>
      <c r="CO142" s="45"/>
      <c r="CP142" s="45"/>
      <c r="CQ142" s="45"/>
      <c r="CR142" s="45"/>
      <c r="CS142" s="45"/>
      <c r="CT142" s="7"/>
      <c r="CU142" s="7"/>
      <c r="CW142" s="11"/>
      <c r="CX142" s="11"/>
      <c r="DA142" s="8">
        <f>$B$153*DB142</f>
        <v>2.7382430288743249</v>
      </c>
      <c r="DB142" s="67">
        <f t="shared" si="134"/>
        <v>6.2218655507255742E-2</v>
      </c>
      <c r="DC142" s="9">
        <f t="shared" si="202"/>
        <v>5986932.6681093657</v>
      </c>
      <c r="DD142" s="6">
        <v>3.0621093014058296</v>
      </c>
      <c r="DE142" s="6"/>
      <c r="DF142" s="6">
        <f t="shared" si="174"/>
        <v>4</v>
      </c>
      <c r="DG142" s="6">
        <f>DG141+60</f>
        <v>240</v>
      </c>
      <c r="DH142" s="6">
        <f t="shared" si="175"/>
        <v>14400</v>
      </c>
      <c r="DI142" s="6">
        <f t="shared" si="203"/>
        <v>3600</v>
      </c>
      <c r="DJ142" s="6">
        <f t="shared" si="176"/>
        <v>2580574.4259092095</v>
      </c>
      <c r="DK142" s="6">
        <f t="shared" si="177"/>
        <v>25.805744259092094</v>
      </c>
      <c r="DN142" s="73">
        <f>(DS142*(10^-3)*$DB$35*$DI$142/$DL$26)+DN141</f>
        <v>5898112.6462064991</v>
      </c>
      <c r="DO142" s="73">
        <f>(DT142*(10^-3)*$DB$35*$DI$142/$DL$26)+DO141</f>
        <v>5964129.0872406932</v>
      </c>
      <c r="DP142" s="73">
        <f>(DU142*(10^-3)*$DB$35*$DI$142/$DL$26)+DP141</f>
        <v>5937713.1486027297</v>
      </c>
      <c r="DQ142" s="73">
        <f>(DV142*(10^-3)*$DB$35*$DI$142/$DL$26)+DQ141</f>
        <v>5914585.8449537493</v>
      </c>
      <c r="DR142" s="73">
        <f>(DW142*(10^-3)*$DB$35*$DI$142/$DL$26)+DR141</f>
        <v>5944078.6756900474</v>
      </c>
      <c r="DS142" s="44">
        <v>3.0721165260005288</v>
      </c>
      <c r="DT142" s="44">
        <v>2.8598861575187828</v>
      </c>
      <c r="DU142" s="44">
        <v>3.1020795063852558</v>
      </c>
      <c r="DV142" s="44">
        <v>3.2505859812178688</v>
      </c>
      <c r="DW142" s="44">
        <v>3.0721165260005288</v>
      </c>
      <c r="DX142" s="45">
        <f t="shared" ref="DX142:EB146" si="214">DN142/2.32</f>
        <v>2542289.9337096983</v>
      </c>
      <c r="DY142" s="45">
        <f t="shared" si="214"/>
        <v>2570745.2962244367</v>
      </c>
      <c r="DZ142" s="45">
        <f t="shared" si="214"/>
        <v>2559359.115777039</v>
      </c>
      <c r="EA142" s="45">
        <f t="shared" si="214"/>
        <v>2549390.450411099</v>
      </c>
      <c r="EB142" s="45">
        <f t="shared" si="214"/>
        <v>2562102.8774526068</v>
      </c>
      <c r="EC142" s="7">
        <f>_xlfn.STDEV.P(DX142:EB142)</f>
        <v>9945.670364928872</v>
      </c>
      <c r="ED142" s="7">
        <f>EC142/100000</f>
        <v>9.9456703649288714E-2</v>
      </c>
      <c r="EI142" s="8">
        <f t="shared" si="183"/>
        <v>0.58734334859879145</v>
      </c>
      <c r="EJ142" s="67">
        <f t="shared" si="184"/>
        <v>1.3345679359209077E-2</v>
      </c>
      <c r="EK142" s="9">
        <f t="shared" si="204"/>
        <v>1284175.6717877653</v>
      </c>
      <c r="EL142" s="6">
        <v>0.68337729676722492</v>
      </c>
      <c r="EM142" s="6"/>
      <c r="EN142" s="6">
        <f t="shared" si="185"/>
        <v>4</v>
      </c>
      <c r="EO142" s="6">
        <f>EO141+60</f>
        <v>240</v>
      </c>
      <c r="EP142" s="6">
        <f t="shared" si="186"/>
        <v>14400</v>
      </c>
      <c r="EQ142" s="6">
        <f t="shared" si="205"/>
        <v>3600</v>
      </c>
      <c r="ER142" s="6">
        <f t="shared" si="187"/>
        <v>553523.99646024371</v>
      </c>
      <c r="ES142" s="6">
        <f t="shared" si="188"/>
        <v>5.5352399646024368</v>
      </c>
      <c r="EV142" s="73">
        <f>(FA142*(10^-3)*$EJ$35*$EQ$142/$ET$26)+EV141</f>
        <v>1630110.4682536977</v>
      </c>
      <c r="EW142" s="73">
        <f>(FB142*(10^-3)*$EJ$35*$EQ$142/$ET$26)+EW141</f>
        <v>1041990.0564855101</v>
      </c>
      <c r="EX142" s="73">
        <f>(FC142*(10^-3)*$EJ$35*$EQ$142/$ET$26)+EX141</f>
        <v>1339786.8306759694</v>
      </c>
      <c r="EY142" s="73">
        <f>(FD142*(10^-3)*$EJ$35*$EQ$142/$ET$26)+EY141</f>
        <v>1207927.6598036108</v>
      </c>
      <c r="EZ142" s="73">
        <f>(FE142*(10^-3)*$EJ$35*$EQ$142/$ET$26)+EZ141</f>
        <v>1402396.7442558848</v>
      </c>
      <c r="FA142" s="44">
        <v>0.97219763651886393</v>
      </c>
      <c r="FB142" s="44">
        <v>0.60217689749634506</v>
      </c>
      <c r="FC142" s="44">
        <v>0.67715159150155624</v>
      </c>
      <c r="FD142" s="44">
        <v>0.63972580007694835</v>
      </c>
      <c r="FE142" s="44">
        <v>0.71445487624393156</v>
      </c>
      <c r="FF142" s="45">
        <f t="shared" si="189"/>
        <v>702633.82252314559</v>
      </c>
      <c r="FG142" s="45">
        <f t="shared" si="140"/>
        <v>449133.64503685781</v>
      </c>
      <c r="FH142" s="45">
        <f t="shared" si="141"/>
        <v>577494.32356722816</v>
      </c>
      <c r="FI142" s="45">
        <f t="shared" si="142"/>
        <v>520658.47405328054</v>
      </c>
      <c r="FJ142" s="45">
        <f t="shared" si="143"/>
        <v>604481.355282709</v>
      </c>
      <c r="FK142" s="7">
        <f t="shared" si="190"/>
        <v>84706.843545548778</v>
      </c>
      <c r="FL142" s="7">
        <f t="shared" si="191"/>
        <v>0.84706843545548782</v>
      </c>
      <c r="FQ142" s="8">
        <f t="shared" si="192"/>
        <v>0.44004521572279931</v>
      </c>
      <c r="FR142" s="67">
        <f t="shared" si="193"/>
        <v>9.9987551857032338E-3</v>
      </c>
      <c r="FS142" s="9">
        <f t="shared" si="206"/>
        <v>962120.98403080599</v>
      </c>
      <c r="FT142" s="6">
        <v>0.54747067192695276</v>
      </c>
      <c r="FU142" s="6"/>
      <c r="FV142" s="6">
        <f t="shared" si="194"/>
        <v>4</v>
      </c>
      <c r="FW142" s="6">
        <f>FW141+60</f>
        <v>240</v>
      </c>
      <c r="FX142" s="6">
        <f t="shared" si="195"/>
        <v>14400</v>
      </c>
      <c r="FY142" s="6">
        <f t="shared" si="207"/>
        <v>3600</v>
      </c>
      <c r="FZ142" s="6">
        <f t="shared" si="196"/>
        <v>414707.32070293365</v>
      </c>
      <c r="GA142" s="6">
        <f t="shared" si="197"/>
        <v>4.1470732070293366</v>
      </c>
      <c r="GD142" s="73">
        <f>(GI142*(10^-3)*$FR$35*$FY$142/$GB$26)+GD141</f>
        <v>354747.52080767445</v>
      </c>
      <c r="GE142" s="73">
        <f>(GJ142*(10^-3)*$FR$35*$FY$142/$GB$26)+GE141</f>
        <v>1001129.4612836251</v>
      </c>
      <c r="GF142" s="73">
        <f>(GK142*(10^-3)*$FR$35*$FY$142/$GB$26)+GF141</f>
        <v>1457424.3140253248</v>
      </c>
      <c r="GG142" s="73">
        <f>(GL142*(10^-3)*$FR$35*$FY$142/$GB$26)+GG141</f>
        <v>759255.74833006295</v>
      </c>
      <c r="GH142" s="73">
        <f>(GM142*(10^-3)*$FR$35*$FY$142/$GB$26)+GH141</f>
        <v>981951.04571811203</v>
      </c>
      <c r="GI142" s="44">
        <v>1.3182162592897732E-2</v>
      </c>
      <c r="GJ142" s="44">
        <v>0.66636912412261495</v>
      </c>
      <c r="GK142" s="44">
        <v>0.96131667271360632</v>
      </c>
      <c r="GL142" s="44">
        <v>0.5159750770687932</v>
      </c>
      <c r="GM142" s="44">
        <v>0.59141945922573025</v>
      </c>
      <c r="GN142" s="45">
        <f t="shared" si="198"/>
        <v>152908.41414123899</v>
      </c>
      <c r="GO142" s="45">
        <f t="shared" si="144"/>
        <v>431521.31951880397</v>
      </c>
      <c r="GP142" s="45">
        <f t="shared" si="145"/>
        <v>628200.13535574346</v>
      </c>
      <c r="GQ142" s="45">
        <f t="shared" si="146"/>
        <v>327265.40876295819</v>
      </c>
      <c r="GR142" s="45">
        <f t="shared" si="147"/>
        <v>423254.76108539314</v>
      </c>
      <c r="GS142" s="7">
        <f t="shared" si="199"/>
        <v>154714.3612669484</v>
      </c>
      <c r="GT142" s="7">
        <f t="shared" si="200"/>
        <v>1.547143612669484</v>
      </c>
    </row>
    <row r="143" spans="1:202" x14ac:dyDescent="0.3">
      <c r="A143" s="8">
        <f t="shared" si="148"/>
        <v>14.579633965261616</v>
      </c>
      <c r="B143" s="67">
        <f t="shared" si="127"/>
        <v>0.33128002647720101</v>
      </c>
      <c r="C143" s="9">
        <f t="shared" si="149"/>
        <v>31877114.615200873</v>
      </c>
      <c r="D143">
        <v>17.19773806662598</v>
      </c>
      <c r="E143" s="6"/>
      <c r="F143" s="6">
        <f t="shared" si="150"/>
        <v>4</v>
      </c>
      <c r="G143" s="6">
        <f t="shared" si="208"/>
        <v>240</v>
      </c>
      <c r="H143" s="6">
        <f t="shared" si="151"/>
        <v>14400</v>
      </c>
      <c r="I143" s="6">
        <f t="shared" si="201"/>
        <v>1800</v>
      </c>
      <c r="J143" s="6">
        <f t="shared" si="152"/>
        <v>13740135.610000378</v>
      </c>
      <c r="K143" s="6">
        <f t="shared" si="153"/>
        <v>137.40135610000377</v>
      </c>
      <c r="N143" s="73">
        <f>(S143*(10^-3)*$B$35*$I$143/$L$26)+N142</f>
        <v>31708923.638945151</v>
      </c>
      <c r="O143" s="73">
        <f>(T143*(10^-3)*$B$35*$I$143/$L$26)+O142</f>
        <v>31909157.008671436</v>
      </c>
      <c r="P143" s="73">
        <f>(U143*(10^-3)*$B$35*$I$143/$L$26)+P142</f>
        <v>31952466.196230717</v>
      </c>
      <c r="Q143" s="73">
        <f>(V143*(10^-3)*$B$35*$I$143/$L$26)+Q142</f>
        <v>31975459.866298854</v>
      </c>
      <c r="R143" s="73">
        <f>(W143*(10^-3)*$B$35*$I$143/$L$26)+R142</f>
        <v>31949161.559443884</v>
      </c>
      <c r="S143" s="44">
        <v>17.165494051653464</v>
      </c>
      <c r="T143" s="44">
        <v>17.188016336939359</v>
      </c>
      <c r="U143" s="44">
        <v>17.241574185573892</v>
      </c>
      <c r="V143" s="44">
        <v>17.268093959010667</v>
      </c>
      <c r="W143" s="44">
        <v>17.205946320935102</v>
      </c>
      <c r="X143" s="45">
        <f t="shared" si="209"/>
        <v>13667639.499545325</v>
      </c>
      <c r="Y143" s="45">
        <f t="shared" si="210"/>
        <v>13753946.986496311</v>
      </c>
      <c r="Z143" s="45">
        <f t="shared" si="211"/>
        <v>13772614.739754621</v>
      </c>
      <c r="AA143" s="45">
        <f t="shared" si="212"/>
        <v>13782525.804439163</v>
      </c>
      <c r="AB143" s="45">
        <f t="shared" si="213"/>
        <v>13771190.327346502</v>
      </c>
      <c r="AC143" s="7">
        <f t="shared" si="155"/>
        <v>41991.303002631706</v>
      </c>
      <c r="AD143" s="7">
        <f t="shared" si="156"/>
        <v>0.41991303002631708</v>
      </c>
      <c r="AF143" s="11">
        <f t="shared" si="157"/>
        <v>6.503649523765892E-2</v>
      </c>
      <c r="AG143" s="11">
        <f t="shared" si="158"/>
        <v>6.5447183305942319E-2</v>
      </c>
      <c r="AI143">
        <f t="shared" si="159"/>
        <v>2.0534403414169955E-4</v>
      </c>
      <c r="BR143" s="8"/>
      <c r="BS143" s="67"/>
      <c r="BT143" s="9"/>
      <c r="BV143" s="6"/>
      <c r="BW143" s="6"/>
      <c r="BX143" s="6"/>
      <c r="BY143" s="6"/>
      <c r="BZ143" s="6"/>
      <c r="CA143" s="6"/>
      <c r="CB143" s="6"/>
      <c r="CE143" s="73"/>
      <c r="CF143" s="73"/>
      <c r="CG143" s="73"/>
      <c r="CH143" s="73"/>
      <c r="CI143" s="73"/>
      <c r="CJ143" s="44"/>
      <c r="CK143" s="44"/>
      <c r="CL143" s="44"/>
      <c r="CM143" s="44"/>
      <c r="CN143" s="44"/>
      <c r="CO143" s="45"/>
      <c r="CP143" s="45"/>
      <c r="CQ143" s="45"/>
      <c r="CR143" s="45"/>
      <c r="CS143" s="45"/>
      <c r="CT143" s="7"/>
      <c r="CU143" s="7"/>
      <c r="CW143" s="11"/>
      <c r="CX143" s="11"/>
      <c r="DA143" s="8">
        <f>$B$153*DB143</f>
        <v>4.2078942984163561</v>
      </c>
      <c r="DB143" s="67">
        <f t="shared" si="134"/>
        <v>9.5612231275081935E-2</v>
      </c>
      <c r="DC143" s="9">
        <f t="shared" si="202"/>
        <v>9200198.6578585226</v>
      </c>
      <c r="DD143">
        <v>3.2107972547042607</v>
      </c>
      <c r="DE143" s="6"/>
      <c r="DF143" s="6">
        <f t="shared" si="174"/>
        <v>6</v>
      </c>
      <c r="DG143" s="6">
        <f>DG142+120</f>
        <v>360</v>
      </c>
      <c r="DH143" s="6">
        <f t="shared" si="175"/>
        <v>21600</v>
      </c>
      <c r="DI143" s="6">
        <f t="shared" si="203"/>
        <v>7200</v>
      </c>
      <c r="DJ143" s="6">
        <f t="shared" si="176"/>
        <v>3965602.8697666046</v>
      </c>
      <c r="DK143" s="6">
        <f t="shared" si="177"/>
        <v>39.656028697666045</v>
      </c>
      <c r="DN143" s="73">
        <f>(DS143*(10^-3)*$DB$35*$DI$143/$DL$26)+DN142</f>
        <v>8967495.1751793548</v>
      </c>
      <c r="DO143" s="73">
        <f>(DT143*(10^-3)*$DB$35*$DI$143/$DL$26)+DO142</f>
        <v>9299814.6631825715</v>
      </c>
      <c r="DP143" s="73">
        <f>(DU143*(10^-3)*$DB$35*$DI$143/$DL$26)+DP142</f>
        <v>9360629.3041434065</v>
      </c>
      <c r="DQ143" s="73">
        <f>(DV143*(10^-3)*$DB$35*$DI$143/$DL$26)+DQ142</f>
        <v>8983968.373926606</v>
      </c>
      <c r="DR143" s="73">
        <f>(DW143*(10^-3)*$DB$35*$DI$143/$DL$26)+DR142</f>
        <v>8953324.0413807556</v>
      </c>
      <c r="DS143" s="44">
        <v>3.0670243388200209</v>
      </c>
      <c r="DT143" s="44">
        <v>3.3331227865847719</v>
      </c>
      <c r="DU143" s="44">
        <v>3.4202863473965999</v>
      </c>
      <c r="DV143" s="44">
        <v>3.0670243388200209</v>
      </c>
      <c r="DW143" s="44">
        <v>3.0069333785982386</v>
      </c>
      <c r="DX143" s="45">
        <f t="shared" si="214"/>
        <v>3865299.64447386</v>
      </c>
      <c r="DY143" s="45">
        <f t="shared" si="214"/>
        <v>4008540.8030959363</v>
      </c>
      <c r="DZ143" s="45">
        <f t="shared" si="214"/>
        <v>4034754.0104066408</v>
      </c>
      <c r="EA143" s="45">
        <f t="shared" si="214"/>
        <v>3872400.1611752617</v>
      </c>
      <c r="EB143" s="45">
        <f t="shared" si="214"/>
        <v>3859191.3971468778</v>
      </c>
      <c r="EC143" s="7">
        <f>_xlfn.STDEV.P(DX143:EB143)</f>
        <v>76994.198830648034</v>
      </c>
      <c r="ED143" s="7">
        <f>EC143/100000</f>
        <v>0.76994198830648031</v>
      </c>
      <c r="EI143" s="8">
        <f t="shared" si="183"/>
        <v>0.90641466321958575</v>
      </c>
      <c r="EJ143" s="67">
        <f t="shared" si="184"/>
        <v>2.0595652424894018E-2</v>
      </c>
      <c r="EK143" s="9">
        <f t="shared" si="204"/>
        <v>1981797.6347824563</v>
      </c>
      <c r="EL143">
        <v>0.69708598377802233</v>
      </c>
      <c r="EM143" s="6"/>
      <c r="EN143" s="6">
        <f t="shared" si="185"/>
        <v>6</v>
      </c>
      <c r="EO143" s="6">
        <f>EO142+120</f>
        <v>360</v>
      </c>
      <c r="EP143" s="6">
        <f t="shared" si="186"/>
        <v>21600</v>
      </c>
      <c r="EQ143" s="6">
        <f t="shared" si="205"/>
        <v>7200</v>
      </c>
      <c r="ER143" s="6">
        <f t="shared" si="187"/>
        <v>854223.11844071397</v>
      </c>
      <c r="ES143" s="6">
        <f t="shared" si="188"/>
        <v>8.5422311844071395</v>
      </c>
      <c r="EV143" s="73">
        <f>(FA143*(10^-3)*$EJ$35*$EQ$143/$ET$26)+EV142</f>
        <v>2156168.7179088066</v>
      </c>
      <c r="EW143" s="73">
        <f>(FB143*(10^-3)*$EJ$35*$EQ$143/$ET$26)+EW142</f>
        <v>2121538.1240855004</v>
      </c>
      <c r="EX143" s="73">
        <f>(FC143*(10^-3)*$EJ$35*$EQ$143/$ET$26)+EX142</f>
        <v>1520400.6813926077</v>
      </c>
      <c r="EY143" s="73">
        <f>(FD143*(10^-3)*$EJ$35*$EQ$143/$ET$26)+EY142</f>
        <v>1958637.6590951742</v>
      </c>
      <c r="EZ143" s="73">
        <f>(FE143*(10^-3)*$EJ$35*$EQ$143/$ET$26)+EZ142</f>
        <v>2153106.743547448</v>
      </c>
      <c r="FA143" s="44">
        <v>0.52565408192024865</v>
      </c>
      <c r="FB143" s="44">
        <v>1.0787186566033171</v>
      </c>
      <c r="FC143" s="44">
        <v>0.18047508606276894</v>
      </c>
      <c r="FD143" s="44">
        <v>0.75013323282102617</v>
      </c>
      <c r="FE143" s="44">
        <v>0.75013323282102617</v>
      </c>
      <c r="FF143" s="45">
        <f t="shared" si="189"/>
        <v>929383.06806414085</v>
      </c>
      <c r="FG143" s="45">
        <f t="shared" si="140"/>
        <v>914456.0879678881</v>
      </c>
      <c r="FH143" s="45">
        <f t="shared" si="141"/>
        <v>655345.12128991715</v>
      </c>
      <c r="FI143" s="45">
        <f t="shared" si="142"/>
        <v>844240.37029964407</v>
      </c>
      <c r="FJ143" s="45">
        <f t="shared" si="143"/>
        <v>928063.25152907241</v>
      </c>
      <c r="FK143" s="7">
        <f t="shared" si="190"/>
        <v>104289.4809543429</v>
      </c>
      <c r="FL143" s="7">
        <f t="shared" si="191"/>
        <v>1.0428948095434289</v>
      </c>
      <c r="FQ143" s="8">
        <f t="shared" si="192"/>
        <v>0.73735125436193838</v>
      </c>
      <c r="FR143" s="67">
        <f t="shared" si="193"/>
        <v>1.6754175286569833E-2</v>
      </c>
      <c r="FS143" s="9">
        <f t="shared" si="206"/>
        <v>1612155.0446987425</v>
      </c>
      <c r="FT143">
        <v>0.64953464298167385</v>
      </c>
      <c r="FU143" s="6"/>
      <c r="FV143" s="6">
        <f t="shared" si="194"/>
        <v>6</v>
      </c>
      <c r="FW143" s="6">
        <f>FW142+120</f>
        <v>360</v>
      </c>
      <c r="FX143" s="6">
        <f t="shared" si="195"/>
        <v>21600</v>
      </c>
      <c r="FY143" s="6">
        <f t="shared" si="207"/>
        <v>7200</v>
      </c>
      <c r="FZ143" s="6">
        <f t="shared" si="196"/>
        <v>694894.4158184235</v>
      </c>
      <c r="GA143" s="6">
        <f t="shared" si="197"/>
        <v>6.9489441581842346</v>
      </c>
      <c r="GD143" s="73">
        <f>(GI143*(10^-3)*$FR$35*$FY$143/$GB$26)+GD142</f>
        <v>1129858.3782996438</v>
      </c>
      <c r="GE143" s="73">
        <f>(GJ143*(10^-3)*$FR$35*$FY$143/$GB$26)+GE142</f>
        <v>1209536.9203077271</v>
      </c>
      <c r="GF143" s="73">
        <f>(GK143*(10^-3)*$FR$35*$FY$143/$GB$26)+GF142</f>
        <v>2379002.4356053658</v>
      </c>
      <c r="GG143" s="73">
        <f>(GL143*(10^-3)*$FR$35*$FY$143/$GB$26)+GG142</f>
        <v>1159697.0289466463</v>
      </c>
      <c r="GH143" s="73">
        <f>(GM143*(10^-3)*$FR$35*$FY$143/$GB$26)+GH142</f>
        <v>1458317.1034006802</v>
      </c>
      <c r="GI143" s="44">
        <v>0.77451534397280408</v>
      </c>
      <c r="GJ143" s="44">
        <v>0.20824734068987374</v>
      </c>
      <c r="GK143" s="44">
        <v>0.92087007804657317</v>
      </c>
      <c r="GL143" s="44">
        <v>0.40013362372604422</v>
      </c>
      <c r="GM143" s="44">
        <v>0.47600006819257523</v>
      </c>
      <c r="GN143" s="45">
        <f t="shared" si="198"/>
        <v>487007.92168088094</v>
      </c>
      <c r="GO143" s="45">
        <f t="shared" si="144"/>
        <v>521352.12082229619</v>
      </c>
      <c r="GP143" s="45">
        <f t="shared" si="145"/>
        <v>1025432.0843126577</v>
      </c>
      <c r="GQ143" s="45">
        <f t="shared" si="146"/>
        <v>499869.40902872686</v>
      </c>
      <c r="GR143" s="45">
        <f t="shared" si="147"/>
        <v>628584.95836236223</v>
      </c>
      <c r="GS143" s="7">
        <f t="shared" si="199"/>
        <v>202742.99353663673</v>
      </c>
      <c r="GT143" s="7">
        <f t="shared" si="200"/>
        <v>2.0274299353663672</v>
      </c>
    </row>
    <row r="144" spans="1:202" x14ac:dyDescent="0.3">
      <c r="A144" s="8">
        <f t="shared" si="148"/>
        <v>16.550814902128884</v>
      </c>
      <c r="B144" s="67">
        <f t="shared" si="127"/>
        <v>0.37606941381797054</v>
      </c>
      <c r="C144" s="9">
        <f t="shared" si="149"/>
        <v>36186932.049680576</v>
      </c>
      <c r="D144" s="6">
        <v>17.226024899338331</v>
      </c>
      <c r="E144" s="6"/>
      <c r="F144" s="6">
        <f t="shared" si="150"/>
        <v>4.5</v>
      </c>
      <c r="G144" s="6">
        <f t="shared" si="208"/>
        <v>270</v>
      </c>
      <c r="H144" s="6">
        <f t="shared" si="151"/>
        <v>16200</v>
      </c>
      <c r="I144" s="6">
        <f t="shared" si="201"/>
        <v>1800</v>
      </c>
      <c r="J144" s="6">
        <f t="shared" si="152"/>
        <v>15597815.538655421</v>
      </c>
      <c r="K144" s="6">
        <f t="shared" si="153"/>
        <v>155.97815538655422</v>
      </c>
      <c r="N144" s="73">
        <f>(S144*(10^-3)*$B$35*$I$144/$L$26)+N143</f>
        <v>35891643.5688034</v>
      </c>
      <c r="O144" s="73">
        <f>(T144*(10^-3)*$B$35*$I$144/$L$26)+O143</f>
        <v>36197027.592220396</v>
      </c>
      <c r="P144" s="73">
        <f>(U144*(10^-3)*$B$35*$I$144/$L$26)+P143</f>
        <v>36327524.634488255</v>
      </c>
      <c r="Q144" s="73">
        <f>(V144*(10^-3)*$B$35*$I$144/$L$26)+Q143</f>
        <v>36294699.786384568</v>
      </c>
      <c r="R144" s="73">
        <f>(W144*(10^-3)*$B$35*$I$144/$L$26)+R143</f>
        <v>36289155.089920163</v>
      </c>
      <c r="S144" s="44">
        <v>16.718025474180013</v>
      </c>
      <c r="T144" s="44">
        <v>17.138304942207299</v>
      </c>
      <c r="U144" s="44">
        <v>17.486788417194958</v>
      </c>
      <c r="V144" s="44">
        <v>17.26368588478153</v>
      </c>
      <c r="W144" s="44">
        <v>17.346636546793075</v>
      </c>
      <c r="X144" s="45">
        <f t="shared" si="209"/>
        <v>15470536.021035949</v>
      </c>
      <c r="Y144" s="45">
        <f t="shared" si="210"/>
        <v>15602167.06561224</v>
      </c>
      <c r="Z144" s="45">
        <f t="shared" si="211"/>
        <v>15658415.790727697</v>
      </c>
      <c r="AA144" s="45">
        <f t="shared" si="212"/>
        <v>15644267.149303693</v>
      </c>
      <c r="AB144" s="45">
        <f t="shared" si="213"/>
        <v>15641877.193931106</v>
      </c>
      <c r="AC144" s="7">
        <f t="shared" si="155"/>
        <v>69038.682998392309</v>
      </c>
      <c r="AD144" s="7">
        <f t="shared" si="156"/>
        <v>0.69038682998392309</v>
      </c>
      <c r="AF144" s="11">
        <f t="shared" si="157"/>
        <v>7.3615450735996249E-2</v>
      </c>
      <c r="AG144" s="11">
        <f t="shared" si="158"/>
        <v>7.4241807745485625E-2</v>
      </c>
      <c r="AI144">
        <f t="shared" si="159"/>
        <v>3.1317850474468778E-4</v>
      </c>
      <c r="BR144" s="8"/>
      <c r="BS144" s="67"/>
      <c r="BT144" s="9"/>
      <c r="BU144" s="6"/>
      <c r="BV144" s="6"/>
      <c r="BW144" s="6"/>
      <c r="BX144" s="6"/>
      <c r="BY144" s="6"/>
      <c r="BZ144" s="6"/>
      <c r="CA144" s="6"/>
      <c r="CB144" s="6"/>
      <c r="CE144" s="73"/>
      <c r="CF144" s="73"/>
      <c r="CG144" s="73"/>
      <c r="CH144" s="73"/>
      <c r="CI144" s="73"/>
      <c r="CJ144" s="44"/>
      <c r="CK144" s="44"/>
      <c r="CL144" s="44"/>
      <c r="CM144" s="44"/>
      <c r="CN144" s="44"/>
      <c r="CO144" s="45"/>
      <c r="CP144" s="45"/>
      <c r="CQ144" s="45"/>
      <c r="CR144" s="45"/>
      <c r="CS144" s="45"/>
      <c r="CT144" s="7"/>
      <c r="CU144" s="7"/>
      <c r="CW144" s="11"/>
      <c r="CX144" s="11"/>
      <c r="DA144" s="8">
        <f>$B$153*DB144</f>
        <v>5.7032566732353391</v>
      </c>
      <c r="DB144" s="67">
        <f t="shared" si="134"/>
        <v>0.12959001756953736</v>
      </c>
      <c r="DC144" s="9">
        <f t="shared" si="202"/>
        <v>12469679.766022157</v>
      </c>
      <c r="DD144" s="6">
        <v>3.2669691833444325</v>
      </c>
      <c r="DE144" s="6"/>
      <c r="DF144" s="6">
        <f t="shared" si="174"/>
        <v>8</v>
      </c>
      <c r="DG144" s="6">
        <f>DG143+120</f>
        <v>480</v>
      </c>
      <c r="DH144" s="6">
        <f t="shared" si="175"/>
        <v>28800</v>
      </c>
      <c r="DI144" s="6">
        <f t="shared" si="203"/>
        <v>7200</v>
      </c>
      <c r="DJ144" s="6">
        <f t="shared" si="176"/>
        <v>5374861.9681129986</v>
      </c>
      <c r="DK144" s="6">
        <f t="shared" si="177"/>
        <v>53.748619681129988</v>
      </c>
      <c r="DN144" s="73">
        <f>(DS144*(10^-3)*$DB$35*$DI$144/$DL$26)+DN143</f>
        <v>12305393.844885334</v>
      </c>
      <c r="DO144" s="73">
        <f>(DT144*(10^-3)*$DB$35*$DI$144/$DL$26)+DO143</f>
        <v>12490533.531572744</v>
      </c>
      <c r="DP144" s="73">
        <f>(DU144*(10^-3)*$DB$35*$DI$144/$DL$26)+DP143</f>
        <v>12756804.369168067</v>
      </c>
      <c r="DQ144" s="73">
        <f>(DV144*(10^-3)*$DB$35*$DI$144/$DL$26)+DQ143</f>
        <v>12409155.497226801</v>
      </c>
      <c r="DR144" s="73">
        <f>(DW144*(10^-3)*$DB$35*$DI$144/$DL$26)+DR143</f>
        <v>12084567.616706274</v>
      </c>
      <c r="DS144" s="44">
        <v>3.3353341800407894</v>
      </c>
      <c r="DT144" s="44">
        <v>3.1882674561778219</v>
      </c>
      <c r="DU144" s="44">
        <v>3.3935658019171639</v>
      </c>
      <c r="DV144" s="44">
        <v>3.4225555703837576</v>
      </c>
      <c r="DW144" s="44">
        <v>3.1288378576621905</v>
      </c>
      <c r="DX144" s="45">
        <f t="shared" si="214"/>
        <v>5304049.0710712653</v>
      </c>
      <c r="DY144" s="45">
        <f t="shared" si="214"/>
        <v>5383850.6601606663</v>
      </c>
      <c r="DZ144" s="45">
        <f t="shared" si="214"/>
        <v>5498622.5729172705</v>
      </c>
      <c r="EA144" s="45">
        <f t="shared" si="214"/>
        <v>5348773.9212184492</v>
      </c>
      <c r="EB144" s="45">
        <f t="shared" si="214"/>
        <v>5208865.3520285673</v>
      </c>
      <c r="EC144" s="7">
        <f>_xlfn.STDEV.P(DX144:EB144)</f>
        <v>95141.682699828947</v>
      </c>
      <c r="ED144" s="7">
        <f>EC144/100000</f>
        <v>0.95141682699828944</v>
      </c>
      <c r="EI144" s="8">
        <f t="shared" si="183"/>
        <v>1.2267879171014038</v>
      </c>
      <c r="EJ144" s="67">
        <f t="shared" si="184"/>
        <v>2.7875208295873755E-2</v>
      </c>
      <c r="EK144" s="9">
        <f t="shared" si="204"/>
        <v>2682266.1758973231</v>
      </c>
      <c r="EL144" s="6">
        <v>0.69993037488747867</v>
      </c>
      <c r="EM144" s="6"/>
      <c r="EN144" s="6">
        <f t="shared" si="185"/>
        <v>8</v>
      </c>
      <c r="EO144" s="6">
        <f>EO143+120</f>
        <v>480</v>
      </c>
      <c r="EP144" s="6">
        <f t="shared" si="186"/>
        <v>28800</v>
      </c>
      <c r="EQ144" s="6">
        <f t="shared" si="205"/>
        <v>7200</v>
      </c>
      <c r="ER144" s="6">
        <f t="shared" si="187"/>
        <v>1156149.2137488462</v>
      </c>
      <c r="ES144" s="6">
        <f t="shared" si="188"/>
        <v>11.561492137488463</v>
      </c>
      <c r="EV144" s="73">
        <f>(FA144*(10^-3)*$EJ$35*$EQ$144/$ET$26)+EV143</f>
        <v>2943106.3099487512</v>
      </c>
      <c r="EW144" s="73">
        <f>(FB144*(10^-3)*$EJ$35*$EQ$144/$ET$26)+EW143</f>
        <v>2834399.8212015615</v>
      </c>
      <c r="EX144" s="73">
        <f>(FC144*(10^-3)*$EJ$35*$EQ$144/$ET$26)+EX143</f>
        <v>2344195.2537244777</v>
      </c>
      <c r="EY144" s="73">
        <f>(FD144*(10^-3)*$EJ$35*$EQ$144/$ET$26)+EY143</f>
        <v>2484170.4635200677</v>
      </c>
      <c r="EZ144" s="73">
        <f>(FE144*(10^-3)*$EJ$35*$EQ$144/$ET$26)+EZ143</f>
        <v>2753940.8331264853</v>
      </c>
      <c r="FA144" s="44">
        <v>0.78633299210398777</v>
      </c>
      <c r="FB144" s="44">
        <v>0.71231400929331368</v>
      </c>
      <c r="FC144" s="44">
        <v>0.8231616553754153</v>
      </c>
      <c r="FD144" s="44">
        <v>0.52512904038678887</v>
      </c>
      <c r="FE144" s="44">
        <v>0.60037247196697419</v>
      </c>
      <c r="FF144" s="45">
        <f t="shared" si="189"/>
        <v>1268580.306012393</v>
      </c>
      <c r="FG144" s="45">
        <f t="shared" si="140"/>
        <v>1221724.0608627421</v>
      </c>
      <c r="FH144" s="45">
        <f t="shared" si="141"/>
        <v>1010428.9886743439</v>
      </c>
      <c r="FI144" s="45">
        <f t="shared" si="142"/>
        <v>1070763.1308276155</v>
      </c>
      <c r="FJ144" s="45">
        <f t="shared" si="143"/>
        <v>1187043.4625545195</v>
      </c>
      <c r="FK144" s="7">
        <f t="shared" si="190"/>
        <v>96251.556342555079</v>
      </c>
      <c r="FL144" s="7">
        <f t="shared" si="191"/>
        <v>0.96251556342555078</v>
      </c>
      <c r="FQ144" s="8">
        <f t="shared" si="192"/>
        <v>1.036461043105356</v>
      </c>
      <c r="FR144" s="67">
        <f t="shared" si="193"/>
        <v>2.3550580393214181E-2</v>
      </c>
      <c r="FS144" s="9">
        <f t="shared" si="206"/>
        <v>2266132.849698551</v>
      </c>
      <c r="FT144" s="6">
        <v>0.65347535735590434</v>
      </c>
      <c r="FU144" s="6"/>
      <c r="FV144" s="6">
        <f t="shared" si="194"/>
        <v>8</v>
      </c>
      <c r="FW144" s="6">
        <f>FW143+120</f>
        <v>480</v>
      </c>
      <c r="FX144" s="6">
        <f t="shared" si="195"/>
        <v>28800</v>
      </c>
      <c r="FY144" s="6">
        <f t="shared" si="207"/>
        <v>7200</v>
      </c>
      <c r="FZ144" s="6">
        <f t="shared" si="196"/>
        <v>976781.40073213412</v>
      </c>
      <c r="GA144" s="6">
        <f t="shared" si="197"/>
        <v>9.7678140073213413</v>
      </c>
      <c r="GD144" s="73">
        <f>(GI144*(10^-3)*$FR$35*$FY$144/$GB$26)+GD143</f>
        <v>1607972.5683039837</v>
      </c>
      <c r="GE144" s="73">
        <f>(GJ144*(10^-3)*$FR$35*$FY$144/$GB$26)+GE143</f>
        <v>1913268.0510369018</v>
      </c>
      <c r="GF144" s="73">
        <f>(GK144*(10^-3)*$FR$35*$FY$144/$GB$26)+GF143</f>
        <v>3082733.5663345405</v>
      </c>
      <c r="GG144" s="73">
        <f>(GL144*(10^-3)*$FR$35*$FY$144/$GB$26)+GG143</f>
        <v>1523316.243217703</v>
      </c>
      <c r="GH144" s="73">
        <f>(GM144*(10^-3)*$FR$35*$FY$144/$GB$26)+GH143</f>
        <v>2492285.933658544</v>
      </c>
      <c r="GI144" s="44">
        <v>0.47774685743364986</v>
      </c>
      <c r="GJ144" s="44">
        <v>0.70319045787166545</v>
      </c>
      <c r="GK144" s="44">
        <v>0.70319045787166545</v>
      </c>
      <c r="GL144" s="44">
        <v>0.36333984757681714</v>
      </c>
      <c r="GM144" s="44">
        <v>1.03317443754505</v>
      </c>
      <c r="GN144" s="45">
        <f t="shared" si="198"/>
        <v>693091.62426895858</v>
      </c>
      <c r="GO144" s="45">
        <f t="shared" si="144"/>
        <v>824684.50475728535</v>
      </c>
      <c r="GP144" s="45">
        <f t="shared" si="145"/>
        <v>1328764.4682476469</v>
      </c>
      <c r="GQ144" s="45">
        <f t="shared" si="146"/>
        <v>656601.8289731479</v>
      </c>
      <c r="GR144" s="45">
        <f t="shared" si="147"/>
        <v>1074261.1783010967</v>
      </c>
      <c r="GS144" s="7">
        <f t="shared" si="199"/>
        <v>253272.11979437995</v>
      </c>
      <c r="GT144" s="7">
        <f t="shared" si="200"/>
        <v>2.5327211979437996</v>
      </c>
    </row>
    <row r="145" spans="1:202" x14ac:dyDescent="0.3">
      <c r="A145" s="8">
        <f t="shared" si="148"/>
        <v>18.526809818364153</v>
      </c>
      <c r="B145" s="67">
        <f t="shared" si="127"/>
        <v>0.42096818492079424</v>
      </c>
      <c r="C145" s="9">
        <f t="shared" si="149"/>
        <v>40507274.835649528</v>
      </c>
      <c r="D145" s="6">
        <v>17.268093959010667</v>
      </c>
      <c r="E145" s="6"/>
      <c r="F145" s="6">
        <f t="shared" si="150"/>
        <v>5</v>
      </c>
      <c r="G145" s="6">
        <f t="shared" si="208"/>
        <v>300</v>
      </c>
      <c r="H145" s="6">
        <f t="shared" si="151"/>
        <v>18000</v>
      </c>
      <c r="I145" s="6">
        <f t="shared" si="201"/>
        <v>1800</v>
      </c>
      <c r="J145" s="6">
        <f t="shared" si="152"/>
        <v>17460032.256745487</v>
      </c>
      <c r="K145" s="6">
        <f t="shared" si="153"/>
        <v>174.60032256745487</v>
      </c>
      <c r="N145" s="73">
        <f>(S145*(10^-3)*$B$35*$I$145/$L$26)+N144</f>
        <v>40189701.271327443</v>
      </c>
      <c r="O145" s="73">
        <f>(T145*(10^-3)*$B$35*$I$145/$L$26)+O144</f>
        <v>40512951.784058027</v>
      </c>
      <c r="P145" s="73">
        <f>(U145*(10^-3)*$B$35*$I$145/$L$26)+P144</f>
        <v>40664269.241872653</v>
      </c>
      <c r="Q145" s="73">
        <f>(V145*(10^-3)*$B$35*$I$145/$L$26)+Q144</f>
        <v>40613939.706470281</v>
      </c>
      <c r="R145" s="73">
        <f>(W145*(10^-3)*$B$35*$I$145/$L$26)+R144</f>
        <v>40609497.875889115</v>
      </c>
      <c r="S145" s="44">
        <v>17.179022111271927</v>
      </c>
      <c r="T145" s="44">
        <v>17.250433161614193</v>
      </c>
      <c r="U145" s="44">
        <v>17.333650838946383</v>
      </c>
      <c r="V145" s="44">
        <v>17.26368588478153</v>
      </c>
      <c r="W145" s="44">
        <v>17.268093959010667</v>
      </c>
      <c r="X145" s="45">
        <f t="shared" si="209"/>
        <v>17323147.099710107</v>
      </c>
      <c r="Y145" s="45">
        <f t="shared" si="210"/>
        <v>17462479.217266392</v>
      </c>
      <c r="Z145" s="45">
        <f t="shared" si="211"/>
        <v>17527702.259427868</v>
      </c>
      <c r="AA145" s="45">
        <f t="shared" si="212"/>
        <v>17506008.494168226</v>
      </c>
      <c r="AB145" s="45">
        <f t="shared" si="213"/>
        <v>17504093.912021171</v>
      </c>
      <c r="AC145" s="7">
        <f t="shared" si="155"/>
        <v>73850.810681460134</v>
      </c>
      <c r="AD145" s="7">
        <f t="shared" si="156"/>
        <v>0.73850810681460133</v>
      </c>
      <c r="AF145" s="11">
        <f t="shared" si="157"/>
        <v>8.2430969436166401E-2</v>
      </c>
      <c r="AG145" s="11">
        <f t="shared" si="158"/>
        <v>8.309397145639115E-2</v>
      </c>
      <c r="AI145">
        <f t="shared" si="159"/>
        <v>3.3150101011237415E-4</v>
      </c>
      <c r="BR145" s="8"/>
      <c r="BS145" s="67"/>
      <c r="BT145" s="9"/>
      <c r="BU145" s="6"/>
      <c r="BV145" s="6"/>
      <c r="BW145" s="6"/>
      <c r="BX145" s="6"/>
      <c r="BY145" s="6"/>
      <c r="BZ145" s="6"/>
      <c r="CA145" s="6"/>
      <c r="CB145" s="6"/>
      <c r="CE145" s="73"/>
      <c r="CF145" s="73"/>
      <c r="CG145" s="73"/>
      <c r="CH145" s="73"/>
      <c r="CI145" s="73"/>
      <c r="CJ145" s="44"/>
      <c r="CK145" s="44"/>
      <c r="CL145" s="44"/>
      <c r="CM145" s="44"/>
      <c r="CN145" s="44"/>
      <c r="CO145" s="45"/>
      <c r="CP145" s="45"/>
      <c r="CQ145" s="45"/>
      <c r="CR145" s="45"/>
      <c r="CS145" s="45"/>
      <c r="CT145" s="7"/>
      <c r="CU145" s="7"/>
      <c r="CW145" s="11"/>
      <c r="CX145" s="11"/>
      <c r="DA145" s="8">
        <f>$B$153*DB145</f>
        <v>7.2065983036811696</v>
      </c>
      <c r="DB145" s="67">
        <f t="shared" si="134"/>
        <v>0.16374910937698636</v>
      </c>
      <c r="DC145" s="9">
        <f t="shared" si="202"/>
        <v>15756606.829740439</v>
      </c>
      <c r="DD145" s="6">
        <v>3.2844017352648924</v>
      </c>
      <c r="DE145" s="6"/>
      <c r="DF145" s="6">
        <f t="shared" si="174"/>
        <v>10</v>
      </c>
      <c r="DG145" s="6">
        <f>DG144+120</f>
        <v>600</v>
      </c>
      <c r="DH145" s="6">
        <f t="shared" si="175"/>
        <v>36000</v>
      </c>
      <c r="DI145" s="6">
        <f t="shared" si="203"/>
        <v>7200</v>
      </c>
      <c r="DJ145" s="6">
        <f t="shared" si="176"/>
        <v>6791640.8748881202</v>
      </c>
      <c r="DK145" s="6">
        <f t="shared" si="177"/>
        <v>67.916408748881196</v>
      </c>
      <c r="DN145" s="73">
        <f>(DS145*(10^-3)*$DB$35*$DI$145/$DL$26)+DN144</f>
        <v>15513138.393413659</v>
      </c>
      <c r="DO145" s="73">
        <f>(DT145*(10^-3)*$DB$35*$DI$145/$DL$26)+DO144</f>
        <v>15875579.305321999</v>
      </c>
      <c r="DP145" s="73">
        <f>(DU145*(10^-3)*$DB$35*$DI$145/$DL$26)+DP144</f>
        <v>16200268.295527397</v>
      </c>
      <c r="DQ145" s="73">
        <f>(DV145*(10^-3)*$DB$35*$DI$145/$DL$26)+DQ144</f>
        <v>15557107.392447338</v>
      </c>
      <c r="DR145" s="73">
        <f>(DW145*(10^-3)*$DB$35*$DI$145/$DL$26)+DR144</f>
        <v>15440277.318166561</v>
      </c>
      <c r="DS145" s="44">
        <v>3.2052800555771368</v>
      </c>
      <c r="DT145" s="44">
        <v>3.3824450612166199</v>
      </c>
      <c r="DU145" s="44">
        <v>3.4408183314730176</v>
      </c>
      <c r="DV145" s="44">
        <v>3.1455333406445467</v>
      </c>
      <c r="DW145" s="44">
        <v>3.3531315276748237</v>
      </c>
      <c r="DX145" s="45">
        <f t="shared" si="214"/>
        <v>6686697.5833679568</v>
      </c>
      <c r="DY145" s="45">
        <f t="shared" si="214"/>
        <v>6842922.1143629309</v>
      </c>
      <c r="DZ145" s="45">
        <f t="shared" si="214"/>
        <v>6982874.2653135331</v>
      </c>
      <c r="EA145" s="45">
        <f t="shared" si="214"/>
        <v>6705649.7381238528</v>
      </c>
      <c r="EB145" s="45">
        <f t="shared" si="214"/>
        <v>6655291.9474855876</v>
      </c>
      <c r="EC145" s="7">
        <f>_xlfn.STDEV.P(DX145:EB145)</f>
        <v>122279.53860093508</v>
      </c>
      <c r="ED145" s="7">
        <f>EC145/100000</f>
        <v>1.2227953860093508</v>
      </c>
      <c r="EI145" s="8">
        <f t="shared" si="183"/>
        <v>1.5714034834887287</v>
      </c>
      <c r="EJ145" s="67">
        <f t="shared" si="184"/>
        <v>3.5705600624601881E-2</v>
      </c>
      <c r="EK145" s="9">
        <f t="shared" si="204"/>
        <v>3435738.4464691035</v>
      </c>
      <c r="EL145" s="6">
        <v>0.75289338186301713</v>
      </c>
      <c r="EM145" s="6"/>
      <c r="EN145" s="6">
        <f t="shared" si="185"/>
        <v>10</v>
      </c>
      <c r="EO145" s="6">
        <f>EO144+120</f>
        <v>600</v>
      </c>
      <c r="EP145" s="6">
        <f t="shared" si="186"/>
        <v>36000</v>
      </c>
      <c r="EQ145" s="6">
        <f t="shared" si="205"/>
        <v>7200</v>
      </c>
      <c r="ER145" s="6">
        <f t="shared" si="187"/>
        <v>1480921.7441677172</v>
      </c>
      <c r="ES145" s="6">
        <f t="shared" si="188"/>
        <v>14.809217441677172</v>
      </c>
      <c r="EV145" s="73">
        <f>(FA145*(10^-3)*$EJ$35*$EQ$145/$ET$26)+EV144</f>
        <v>3733729.1758768186</v>
      </c>
      <c r="EW145" s="73">
        <f>(FB145*(10^-3)*$EJ$35*$EQ$145/$ET$26)+EW144</f>
        <v>2937205.9502475057</v>
      </c>
      <c r="EX145" s="73">
        <f>(FC145*(10^-3)*$EJ$35*$EQ$145/$ET$26)+EX144</f>
        <v>3097667.5242962581</v>
      </c>
      <c r="EY145" s="73">
        <f>(FD145*(10^-3)*$EJ$35*$EQ$145/$ET$26)+EY144</f>
        <v>3817854.5800384469</v>
      </c>
      <c r="EZ145" s="73">
        <f>(FE145*(10^-3)*$EJ$35*$EQ$145/$ET$26)+EZ144</f>
        <v>4016720.4668734358</v>
      </c>
      <c r="FA145" s="44">
        <v>0.79001543461592594</v>
      </c>
      <c r="FB145" s="44">
        <v>0.10272714364778046</v>
      </c>
      <c r="FC145" s="44">
        <v>0.75289338186301713</v>
      </c>
      <c r="FD145" s="44">
        <v>1.3326594541568519</v>
      </c>
      <c r="FE145" s="44">
        <v>1.261809446919667</v>
      </c>
      <c r="FF145" s="45">
        <f t="shared" si="189"/>
        <v>1609366.0240848358</v>
      </c>
      <c r="FG145" s="45">
        <f t="shared" si="140"/>
        <v>1266037.0475204766</v>
      </c>
      <c r="FH145" s="45">
        <f t="shared" si="141"/>
        <v>1335201.5190932148</v>
      </c>
      <c r="FI145" s="45">
        <f t="shared" si="142"/>
        <v>1645626.9741545031</v>
      </c>
      <c r="FJ145" s="45">
        <f t="shared" si="143"/>
        <v>1731345.0288247569</v>
      </c>
      <c r="FK145" s="7">
        <f t="shared" si="190"/>
        <v>182785.08455425358</v>
      </c>
      <c r="FL145" s="7">
        <f t="shared" si="191"/>
        <v>1.8278508455425357</v>
      </c>
      <c r="FQ145" s="8">
        <f t="shared" si="192"/>
        <v>1.3343092205814644</v>
      </c>
      <c r="FR145" s="67">
        <f t="shared" si="193"/>
        <v>3.0318319031617007E-2</v>
      </c>
      <c r="FS145" s="9">
        <f t="shared" si="206"/>
        <v>2917352.25026491</v>
      </c>
      <c r="FT145" s="6">
        <v>0.65071907218980285</v>
      </c>
      <c r="FU145" s="6"/>
      <c r="FV145" s="6">
        <f t="shared" si="194"/>
        <v>10</v>
      </c>
      <c r="FW145" s="6">
        <f>FW144+120</f>
        <v>600</v>
      </c>
      <c r="FX145" s="6">
        <f t="shared" si="195"/>
        <v>36000</v>
      </c>
      <c r="FY145" s="6">
        <f t="shared" si="207"/>
        <v>7200</v>
      </c>
      <c r="FZ145" s="6">
        <f t="shared" si="196"/>
        <v>1257479.4182176336</v>
      </c>
      <c r="GA145" s="6">
        <f t="shared" si="197"/>
        <v>12.574794182176337</v>
      </c>
      <c r="GD145" s="73">
        <f>(GI145*(10^-3)*$FR$35*$FY$145/$GB$26)+GD144</f>
        <v>2427231.6510044285</v>
      </c>
      <c r="GE145" s="73">
        <f>(GJ145*(10^-3)*$FR$35*$FY$145/$GB$26)+GE144</f>
        <v>2432064.5411133002</v>
      </c>
      <c r="GF145" s="73">
        <f>(GK145*(10^-3)*$FR$35*$FY$145/$GB$26)+GF144</f>
        <v>3752746.4759774623</v>
      </c>
      <c r="GG145" s="73">
        <f>(GL145*(10^-3)*$FR$35*$FY$145/$GB$26)+GG144</f>
        <v>2117969.6542937569</v>
      </c>
      <c r="GH145" s="73">
        <f>(GM145*(10^-3)*$FR$35*$FY$145/$GB$26)+GH144</f>
        <v>3162298.8433014657</v>
      </c>
      <c r="GI145" s="44">
        <v>0.81862965033637547</v>
      </c>
      <c r="GJ145" s="44">
        <v>0.51839790151251797</v>
      </c>
      <c r="GK145" s="44">
        <v>0.66949814231402804</v>
      </c>
      <c r="GL145" s="44">
        <v>0.59419654204617189</v>
      </c>
      <c r="GM145" s="44">
        <v>0.66949814231402804</v>
      </c>
      <c r="GN145" s="45">
        <f t="shared" si="198"/>
        <v>1046220.5392260469</v>
      </c>
      <c r="GO145" s="45">
        <f t="shared" si="144"/>
        <v>1048303.6815143536</v>
      </c>
      <c r="GP145" s="45">
        <f t="shared" si="145"/>
        <v>1617563.1361971821</v>
      </c>
      <c r="GQ145" s="45">
        <f t="shared" si="146"/>
        <v>912917.95443696424</v>
      </c>
      <c r="GR145" s="45">
        <f t="shared" si="147"/>
        <v>1363059.8462506318</v>
      </c>
      <c r="GS145" s="7">
        <f t="shared" si="199"/>
        <v>256902.70320114811</v>
      </c>
      <c r="GT145" s="7">
        <f t="shared" si="200"/>
        <v>2.5690270320114812</v>
      </c>
    </row>
    <row r="146" spans="1:202" x14ac:dyDescent="0.3">
      <c r="A146" s="8">
        <f t="shared" si="148"/>
        <v>20.506695657866722</v>
      </c>
      <c r="B146" s="67">
        <f t="shared" si="127"/>
        <v>0.46595536600469717</v>
      </c>
      <c r="C146" s="9">
        <f t="shared" si="149"/>
        <v>44836124.790402427</v>
      </c>
      <c r="D146" s="9">
        <v>17.302096490097661</v>
      </c>
      <c r="E146" s="9"/>
      <c r="F146" s="6">
        <f t="shared" si="150"/>
        <v>5.5</v>
      </c>
      <c r="G146" s="6">
        <f t="shared" si="208"/>
        <v>330</v>
      </c>
      <c r="H146" s="6">
        <f t="shared" si="151"/>
        <v>19800</v>
      </c>
      <c r="I146" s="6">
        <f t="shared" si="201"/>
        <v>1800</v>
      </c>
      <c r="J146" s="6">
        <f t="shared" si="152"/>
        <v>19325915.857932083</v>
      </c>
      <c r="K146" s="6">
        <f t="shared" si="153"/>
        <v>193.25915857932083</v>
      </c>
      <c r="N146" s="73">
        <f>(S146*(10^-3)*$B$35*$I$146/$L$26)+N145</f>
        <v>44512246.235252284</v>
      </c>
      <c r="O146" s="73">
        <f>(T146*(10^-3)*$B$35*$I$146/$L$26)+O145</f>
        <v>44856183.874235138</v>
      </c>
      <c r="P146" s="73">
        <f>(U146*(10^-3)*$B$35*$I$146/$L$26)+P145</f>
        <v>44997754.512950137</v>
      </c>
      <c r="Q146" s="73">
        <f>(V146*(10^-3)*$B$35*$I$146/$L$26)+Q145</f>
        <v>44984812.48762317</v>
      </c>
      <c r="R146" s="73">
        <f>(W146*(10^-3)*$B$35*$I$146/$L$26)+R145</f>
        <v>44982465.678185791</v>
      </c>
      <c r="S146" s="44">
        <v>17.276895903148116</v>
      </c>
      <c r="T146" s="44">
        <v>17.359580832924145</v>
      </c>
      <c r="U146" s="44">
        <v>17.320623510241209</v>
      </c>
      <c r="V146" s="44">
        <v>17.470058652048067</v>
      </c>
      <c r="W146" s="44">
        <v>17.478432298249146</v>
      </c>
      <c r="X146" s="45">
        <f t="shared" si="209"/>
        <v>19186313.03243633</v>
      </c>
      <c r="Y146" s="45">
        <f t="shared" si="210"/>
        <v>19334562.014756527</v>
      </c>
      <c r="Z146" s="45">
        <f t="shared" si="211"/>
        <v>19395583.841788854</v>
      </c>
      <c r="AA146" s="45">
        <f t="shared" si="212"/>
        <v>19390005.382596195</v>
      </c>
      <c r="AB146" s="45">
        <f t="shared" si="213"/>
        <v>19388993.826804221</v>
      </c>
      <c r="AC146" s="7">
        <f t="shared" si="155"/>
        <v>79543.229416318936</v>
      </c>
      <c r="AD146" s="7">
        <f t="shared" si="156"/>
        <v>0.79543229416318939</v>
      </c>
      <c r="AF146" s="11">
        <f t="shared" si="157"/>
        <v>9.1296712662328347E-2</v>
      </c>
      <c r="AG146" s="11">
        <f t="shared" si="158"/>
        <v>9.2002144952445145E-2</v>
      </c>
      <c r="AI146">
        <f t="shared" si="159"/>
        <v>3.5271614505839877E-4</v>
      </c>
      <c r="BR146" s="8"/>
      <c r="BS146" s="67"/>
      <c r="BT146" s="9"/>
      <c r="BU146" s="9"/>
      <c r="BV146" s="9"/>
      <c r="BW146" s="6"/>
      <c r="BX146" s="6"/>
      <c r="BY146" s="6"/>
      <c r="BZ146" s="6"/>
      <c r="CA146" s="6"/>
      <c r="CB146" s="6"/>
      <c r="CE146" s="73"/>
      <c r="CF146" s="73"/>
      <c r="CG146" s="73"/>
      <c r="CH146" s="73"/>
      <c r="CI146" s="73"/>
      <c r="CJ146" s="44"/>
      <c r="CK146" s="44"/>
      <c r="CL146" s="44"/>
      <c r="CM146" s="44"/>
      <c r="CN146" s="44"/>
      <c r="CO146" s="45"/>
      <c r="CP146" s="45"/>
      <c r="CQ146" s="45"/>
      <c r="CR146" s="45"/>
      <c r="CS146" s="45"/>
      <c r="CT146" s="7"/>
      <c r="CU146" s="7"/>
      <c r="CW146" s="11"/>
      <c r="CX146" s="11"/>
      <c r="DA146" s="8">
        <f>$B$153*DB146</f>
        <v>8.725132876324535</v>
      </c>
      <c r="DB146" s="67">
        <f t="shared" si="134"/>
        <v>0.19825341686717871</v>
      </c>
      <c r="DC146" s="9">
        <f t="shared" si="202"/>
        <v>19076751.953728743</v>
      </c>
      <c r="DD146" s="9">
        <v>3.317594274277174</v>
      </c>
      <c r="DE146" s="9"/>
      <c r="DF146" s="6">
        <f t="shared" si="174"/>
        <v>12</v>
      </c>
      <c r="DG146" s="6">
        <f>DG145+120</f>
        <v>720</v>
      </c>
      <c r="DH146" s="6">
        <f t="shared" si="175"/>
        <v>43200</v>
      </c>
      <c r="DI146" s="6">
        <f t="shared" si="203"/>
        <v>7200</v>
      </c>
      <c r="DJ146" s="6">
        <f t="shared" si="176"/>
        <v>8222737.9110899763</v>
      </c>
      <c r="DK146" s="6">
        <f t="shared" si="177"/>
        <v>82.227379110899761</v>
      </c>
      <c r="DN146" s="73">
        <f>(DS146*(10^-3)*$DB$35*$DI$146/$DL$26)+DN145</f>
        <v>18753300.774670921</v>
      </c>
      <c r="DO146" s="73">
        <f>(DT146*(10^-3)*$DB$35*$DI$146/$DL$26)+DO145</f>
        <v>19175786.955230694</v>
      </c>
      <c r="DP146" s="73">
        <f>(DU146*(10^-3)*$DB$35*$DI$146/$DL$26)+DP145</f>
        <v>19560172.620365307</v>
      </c>
      <c r="DQ146" s="73">
        <f>(DV146*(10^-3)*$DB$35*$DI$146/$DL$26)+DQ145</f>
        <v>18857315.042356033</v>
      </c>
      <c r="DR146" s="73">
        <f>(DW146*(10^-3)*$DB$35*$DI$146/$DL$26)+DR145</f>
        <v>18918541.284206126</v>
      </c>
      <c r="DS146" s="44">
        <v>3.2376729818588683</v>
      </c>
      <c r="DT146" s="44">
        <v>3.2976721180520854</v>
      </c>
      <c r="DU146" s="44">
        <v>3.3573229283457788</v>
      </c>
      <c r="DV146" s="44">
        <v>3.2976721180520854</v>
      </c>
      <c r="DW146" s="44">
        <v>3.4755916344692075</v>
      </c>
      <c r="DX146" s="45">
        <f t="shared" si="214"/>
        <v>8083319.2994271219</v>
      </c>
      <c r="DY146" s="45">
        <f t="shared" si="214"/>
        <v>8265425.4117373684</v>
      </c>
      <c r="DZ146" s="45">
        <f t="shared" si="214"/>
        <v>8431108.8880884945</v>
      </c>
      <c r="EA146" s="45">
        <f t="shared" si="214"/>
        <v>8128153.0354982903</v>
      </c>
      <c r="EB146" s="45">
        <f t="shared" si="214"/>
        <v>8154543.6569853993</v>
      </c>
      <c r="EC146" s="7">
        <f>_xlfn.STDEV.P(DX146:EB146)</f>
        <v>124701.19980961247</v>
      </c>
      <c r="ED146" s="7">
        <f>EC146/100000</f>
        <v>1.2470119980961247</v>
      </c>
      <c r="EI146" s="8">
        <f t="shared" si="183"/>
        <v>1.9426031363301834</v>
      </c>
      <c r="EJ146" s="67">
        <f t="shared" si="184"/>
        <v>4.4140039453083015E-2</v>
      </c>
      <c r="EK146" s="9">
        <f t="shared" si="204"/>
        <v>4247334.5336509468</v>
      </c>
      <c r="EL146" s="9">
        <v>0.81097254225617599</v>
      </c>
      <c r="EM146" s="9"/>
      <c r="EN146" s="6">
        <f t="shared" si="185"/>
        <v>12</v>
      </c>
      <c r="EO146" s="6">
        <f>EO145+120</f>
        <v>720</v>
      </c>
      <c r="EP146" s="6">
        <f t="shared" si="186"/>
        <v>43200</v>
      </c>
      <c r="EQ146" s="6">
        <f t="shared" si="205"/>
        <v>7200</v>
      </c>
      <c r="ER146" s="6">
        <f t="shared" si="187"/>
        <v>1830747.6438150634</v>
      </c>
      <c r="ES146" s="6">
        <f t="shared" si="188"/>
        <v>18.307476438150633</v>
      </c>
      <c r="EV146" s="73">
        <f>(FA146*(10^-3)*$EJ$35*$EQ$146/$ET$26)+EV145</f>
        <v>4711244.4373718668</v>
      </c>
      <c r="EW146" s="73">
        <f>(FB146*(10^-3)*$EJ$35*$EQ$146/$ET$26)+EW145</f>
        <v>3767357.6019833721</v>
      </c>
      <c r="EX146" s="73">
        <f>(FC146*(10^-3)*$EJ$35*$EQ$146/$ET$26)+EX145</f>
        <v>4038521.0125367926</v>
      </c>
      <c r="EY146" s="73">
        <f>(FD146*(10^-3)*$EJ$35*$EQ$146/$ET$26)+EY145</f>
        <v>4536217.3068588031</v>
      </c>
      <c r="EZ146" s="73">
        <f>(FE146*(10^-3)*$EJ$35*$EQ$146/$ET$26)+EZ145</f>
        <v>4809730.7194122579</v>
      </c>
      <c r="FA146" s="44">
        <v>0.9767642417566661</v>
      </c>
      <c r="FB146" s="44">
        <v>0.82951385066936367</v>
      </c>
      <c r="FC146" s="44">
        <v>0.94013063554612886</v>
      </c>
      <c r="FD146" s="44">
        <v>0.71781081258595825</v>
      </c>
      <c r="FE146" s="44">
        <v>0.79240098701033823</v>
      </c>
      <c r="FF146" s="45">
        <f t="shared" si="189"/>
        <v>2030708.8092120118</v>
      </c>
      <c r="FG146" s="45">
        <f t="shared" si="140"/>
        <v>1623861.0353376605</v>
      </c>
      <c r="FH146" s="45">
        <f t="shared" si="141"/>
        <v>1740741.8157486175</v>
      </c>
      <c r="FI146" s="45">
        <f t="shared" si="142"/>
        <v>1955266.0805425877</v>
      </c>
      <c r="FJ146" s="45">
        <f t="shared" si="143"/>
        <v>2073159.7928501114</v>
      </c>
      <c r="FK146" s="7">
        <f t="shared" si="190"/>
        <v>173537.40266950225</v>
      </c>
      <c r="FL146" s="7">
        <f t="shared" si="191"/>
        <v>1.7353740266950224</v>
      </c>
      <c r="FQ146" s="8">
        <f t="shared" si="192"/>
        <v>1.737870653730369</v>
      </c>
      <c r="FR146" s="67">
        <f t="shared" si="193"/>
        <v>3.9488085747111316E-2</v>
      </c>
      <c r="FS146" s="9">
        <f t="shared" si="206"/>
        <v>3799704.5843093619</v>
      </c>
      <c r="FT146" s="9">
        <v>0.88167442747339586</v>
      </c>
      <c r="FU146" s="9"/>
      <c r="FV146" s="6">
        <f t="shared" si="194"/>
        <v>12</v>
      </c>
      <c r="FW146" s="6">
        <f>FW145+120</f>
        <v>720</v>
      </c>
      <c r="FX146" s="6">
        <f t="shared" si="195"/>
        <v>43200</v>
      </c>
      <c r="FY146" s="6">
        <f t="shared" si="207"/>
        <v>7200</v>
      </c>
      <c r="FZ146" s="6">
        <f t="shared" si="196"/>
        <v>1637803.7001333458</v>
      </c>
      <c r="GA146" s="6">
        <f t="shared" si="197"/>
        <v>16.378037001333457</v>
      </c>
      <c r="GD146" s="73">
        <f>(GI146*(10^-3)*$FR$35*$FY$146/$GB$26)+GD145</f>
        <v>3060688.996046382</v>
      </c>
      <c r="GE146" s="73">
        <f>(GJ146*(10^-3)*$FR$35*$FY$146/$GB$26)+GE145</f>
        <v>3509685.2143558348</v>
      </c>
      <c r="GF146" s="73">
        <f>(GK146*(10^-3)*$FR$35*$FY$146/$GB$26)+GF145</f>
        <v>4610452.1355011761</v>
      </c>
      <c r="GG146" s="73">
        <f>(GL146*(10^-3)*$FR$35*$FY$146/$GB$26)+GG145</f>
        <v>3195590.3275362914</v>
      </c>
      <c r="GH146" s="73">
        <f>(GM146*(10^-3)*$FR$35*$FY$146/$GB$26)+GH145</f>
        <v>3833437.2575801071</v>
      </c>
      <c r="GI146" s="44">
        <v>0.63297066315749684</v>
      </c>
      <c r="GJ146" s="44">
        <v>1.0767927430526203</v>
      </c>
      <c r="GK146" s="44">
        <v>0.85704668886064839</v>
      </c>
      <c r="GL146" s="44">
        <v>1.0767927430526203</v>
      </c>
      <c r="GM146" s="44">
        <v>0.6706227822305656</v>
      </c>
      <c r="GN146" s="45">
        <f t="shared" si="198"/>
        <v>1319262.4982958543</v>
      </c>
      <c r="GO146" s="45">
        <f t="shared" si="144"/>
        <v>1512795.351015446</v>
      </c>
      <c r="GP146" s="45">
        <f t="shared" si="145"/>
        <v>1987263.8515091278</v>
      </c>
      <c r="GQ146" s="45">
        <f t="shared" si="146"/>
        <v>1377409.6239380566</v>
      </c>
      <c r="GR146" s="45">
        <f t="shared" si="147"/>
        <v>1652343.645508667</v>
      </c>
      <c r="GS146" s="7">
        <f t="shared" si="199"/>
        <v>238378.75164277831</v>
      </c>
      <c r="GT146" s="7">
        <f t="shared" si="200"/>
        <v>2.3837875164277831</v>
      </c>
    </row>
    <row r="147" spans="1:202" x14ac:dyDescent="0.3">
      <c r="A147" s="8">
        <f t="shared" si="148"/>
        <v>22.477111970758774</v>
      </c>
      <c r="B147" s="67">
        <f t="shared" si="127"/>
        <v>0.51072737947645475</v>
      </c>
      <c r="C147" s="9">
        <f t="shared" si="149"/>
        <v>49144270.440380983</v>
      </c>
      <c r="D147" s="6">
        <v>17.219342899026024</v>
      </c>
      <c r="E147" s="6"/>
      <c r="F147" s="6">
        <f t="shared" si="150"/>
        <v>6</v>
      </c>
      <c r="G147" s="6">
        <f t="shared" si="208"/>
        <v>360</v>
      </c>
      <c r="H147" s="6">
        <f t="shared" si="151"/>
        <v>21600</v>
      </c>
      <c r="I147" s="6">
        <f t="shared" si="201"/>
        <v>1800</v>
      </c>
      <c r="J147" s="6">
        <f t="shared" si="152"/>
        <v>21182875.189819392</v>
      </c>
      <c r="K147" s="6">
        <f t="shared" si="153"/>
        <v>211.82875189819393</v>
      </c>
      <c r="N147" s="73">
        <f>(S147*(10^-3)*$B$35*$I$147/$L$26)+N146</f>
        <v>48831486.155337997</v>
      </c>
      <c r="O147" s="73">
        <f>(T147*(10^-3)*$B$35*$I$147/$L$26)+O146</f>
        <v>49142916.370418333</v>
      </c>
      <c r="P147" s="73">
        <f>(U147*(10^-3)*$B$35*$I$147/$L$26)+P146</f>
        <v>49302548.443297721</v>
      </c>
      <c r="Q147" s="73">
        <f>(V147*(10^-3)*$B$35*$I$147/$L$26)+Q146</f>
        <v>49295186.581483863</v>
      </c>
      <c r="R147" s="73">
        <f>(W147*(10^-3)*$B$35*$I$147/$L$26)+R146</f>
        <v>49317038.5548115</v>
      </c>
      <c r="S147" s="44">
        <v>17.26368588478153</v>
      </c>
      <c r="T147" s="44">
        <v>17.133756090289943</v>
      </c>
      <c r="U147" s="44">
        <v>17.205946320935102</v>
      </c>
      <c r="V147" s="44">
        <v>17.228249826148605</v>
      </c>
      <c r="W147" s="44">
        <v>17.324970590028038</v>
      </c>
      <c r="X147" s="45">
        <f t="shared" si="209"/>
        <v>21048054.377300862</v>
      </c>
      <c r="Y147" s="45">
        <f t="shared" si="210"/>
        <v>21182291.538973421</v>
      </c>
      <c r="Z147" s="45">
        <f t="shared" si="211"/>
        <v>21251098.466938674</v>
      </c>
      <c r="AA147" s="45">
        <f t="shared" si="212"/>
        <v>21247925.250639599</v>
      </c>
      <c r="AB147" s="45">
        <f t="shared" si="213"/>
        <v>21257344.204660133</v>
      </c>
      <c r="AC147" s="7">
        <f t="shared" si="155"/>
        <v>79450.611341133888</v>
      </c>
      <c r="AD147" s="7">
        <f t="shared" si="156"/>
        <v>0.79450611341133892</v>
      </c>
      <c r="AF147" s="11">
        <f t="shared" si="157"/>
        <v>0.10015567708797497</v>
      </c>
      <c r="AG147" s="11">
        <f t="shared" si="158"/>
        <v>0.1007944351212202</v>
      </c>
      <c r="AI147">
        <f t="shared" si="159"/>
        <v>3.1937901662261459E-4</v>
      </c>
      <c r="BR147" s="8"/>
      <c r="BS147" s="67"/>
      <c r="BT147" s="9"/>
      <c r="BU147" s="6"/>
      <c r="BV147" s="6"/>
      <c r="BW147" s="6"/>
      <c r="BX147" s="6"/>
      <c r="BY147" s="6"/>
      <c r="BZ147" s="6"/>
      <c r="CA147" s="6"/>
      <c r="CB147" s="6"/>
      <c r="CE147" s="73"/>
      <c r="CF147" s="73"/>
      <c r="CG147" s="73"/>
      <c r="CH147" s="73"/>
      <c r="CI147" s="73"/>
      <c r="CJ147" s="44"/>
      <c r="CK147" s="44"/>
      <c r="CL147" s="44"/>
      <c r="CM147" s="44"/>
      <c r="CN147" s="44"/>
      <c r="CO147" s="45"/>
      <c r="CP147" s="45"/>
      <c r="CQ147" s="45"/>
      <c r="CR147" s="45"/>
      <c r="CS147" s="45"/>
      <c r="CT147" s="7"/>
      <c r="CU147" s="7"/>
      <c r="CW147" s="11"/>
      <c r="CX147" s="11"/>
      <c r="DA147" s="8"/>
      <c r="DB147" s="67"/>
      <c r="DC147" s="9"/>
      <c r="DD147" s="6"/>
      <c r="DE147" s="6"/>
      <c r="DF147" s="6"/>
      <c r="DG147" s="6"/>
      <c r="DH147" s="6"/>
      <c r="DI147" s="6"/>
      <c r="DJ147" s="6"/>
      <c r="DK147" s="6"/>
      <c r="DN147" s="73"/>
      <c r="DO147" s="73"/>
      <c r="DP147" s="73"/>
      <c r="DQ147" s="73"/>
      <c r="DR147" s="73"/>
      <c r="DS147" s="44"/>
      <c r="DT147" s="44"/>
      <c r="DU147" s="44"/>
      <c r="DV147" s="44"/>
      <c r="DW147" s="44"/>
      <c r="DX147" s="45"/>
      <c r="DY147" s="45"/>
      <c r="DZ147" s="45"/>
      <c r="EA147" s="45"/>
      <c r="EB147" s="45"/>
      <c r="EC147" s="7"/>
      <c r="ED147" s="7"/>
      <c r="EI147" s="8"/>
      <c r="EJ147" s="67"/>
      <c r="EK147" s="9"/>
      <c r="EL147" s="6"/>
      <c r="EM147" s="6"/>
      <c r="EN147" s="6"/>
      <c r="EO147" s="6"/>
      <c r="EP147" s="6"/>
      <c r="EQ147" s="6"/>
      <c r="ER147" s="6"/>
      <c r="ES147" s="6"/>
      <c r="EV147" s="73"/>
      <c r="EW147" s="73"/>
      <c r="EX147" s="73"/>
      <c r="EY147" s="73"/>
      <c r="EZ147" s="73"/>
      <c r="FA147" s="44"/>
      <c r="FB147" s="44"/>
      <c r="FC147" s="44"/>
      <c r="FD147" s="44"/>
      <c r="FE147" s="44"/>
      <c r="FF147" s="45"/>
      <c r="FG147" s="45"/>
      <c r="FH147" s="45"/>
      <c r="FI147" s="45"/>
      <c r="FJ147" s="45"/>
      <c r="FK147" s="7"/>
      <c r="FL147" s="7"/>
      <c r="FQ147" s="8"/>
      <c r="FR147" s="67"/>
      <c r="FS147" s="9"/>
      <c r="FT147" s="6"/>
      <c r="FU147" s="6"/>
      <c r="FV147" s="6"/>
      <c r="FW147" s="6"/>
      <c r="FX147" s="6"/>
      <c r="FY147" s="6"/>
      <c r="FZ147" s="6"/>
      <c r="GA147" s="6"/>
      <c r="GD147" s="73"/>
      <c r="GE147" s="73"/>
      <c r="GF147" s="73"/>
      <c r="GG147" s="73"/>
      <c r="GH147" s="73"/>
      <c r="GI147" s="44"/>
      <c r="GJ147" s="44"/>
      <c r="GK147" s="44"/>
      <c r="GL147" s="44"/>
      <c r="GM147" s="44"/>
      <c r="GN147" s="45"/>
      <c r="GO147" s="45"/>
      <c r="GP147" s="45"/>
      <c r="GQ147" s="45"/>
      <c r="GR147" s="45"/>
      <c r="GS147" s="7"/>
      <c r="GT147" s="7"/>
    </row>
    <row r="148" spans="1:202" x14ac:dyDescent="0.3">
      <c r="A148" s="8">
        <f t="shared" si="148"/>
        <v>24.626220670625745</v>
      </c>
      <c r="B148" s="67">
        <f t="shared" si="127"/>
        <v>0.55955966077313668</v>
      </c>
      <c r="C148" s="9">
        <f t="shared" si="149"/>
        <v>53843111.612211145</v>
      </c>
      <c r="D148" s="6">
        <v>18.780924309327276</v>
      </c>
      <c r="E148" s="6"/>
      <c r="F148" s="6">
        <f t="shared" si="150"/>
        <v>6.5</v>
      </c>
      <c r="G148" s="6">
        <f t="shared" si="208"/>
        <v>390</v>
      </c>
      <c r="H148" s="6">
        <f t="shared" si="151"/>
        <v>23400</v>
      </c>
      <c r="I148" s="6">
        <f t="shared" si="201"/>
        <v>1800</v>
      </c>
      <c r="J148" s="6">
        <f t="shared" si="152"/>
        <v>23208237.763884116</v>
      </c>
      <c r="K148" s="6">
        <f t="shared" si="153"/>
        <v>232.08237763884117</v>
      </c>
      <c r="N148" s="73">
        <f>(S148*(10^-3)*$B$35*$I$148/$L$26)+N147</f>
        <v>53147410.347175628</v>
      </c>
      <c r="O148" s="73">
        <f>(T148*(10^-3)*$B$35*$I$148/$L$26)+O147</f>
        <v>53848236.405767374</v>
      </c>
      <c r="P148" s="73">
        <f>(U148*(10^-3)*$B$35*$I$148/$L$26)+P147</f>
        <v>54028693.085114628</v>
      </c>
      <c r="Q148" s="73">
        <f>(V148*(10^-3)*$B$35*$I$148/$L$26)+Q147</f>
        <v>54090613.104238607</v>
      </c>
      <c r="R148" s="73">
        <f>(W148*(10^-3)*$B$35*$I$148/$L$26)+R147</f>
        <v>54120877.925233409</v>
      </c>
      <c r="S148" s="44">
        <v>17.250433161614193</v>
      </c>
      <c r="T148" s="44">
        <v>18.80681985269829</v>
      </c>
      <c r="U148" s="44">
        <v>18.890054280835429</v>
      </c>
      <c r="V148" s="44">
        <v>19.166968888994962</v>
      </c>
      <c r="W148" s="44">
        <v>19.200594425480478</v>
      </c>
      <c r="X148" s="45">
        <f t="shared" si="209"/>
        <v>22908366.528955013</v>
      </c>
      <c r="Y148" s="45">
        <f t="shared" si="210"/>
        <v>23210446.72662387</v>
      </c>
      <c r="Z148" s="45">
        <f t="shared" si="211"/>
        <v>23288229.77806665</v>
      </c>
      <c r="AA148" s="45">
        <f t="shared" si="212"/>
        <v>23314919.44148216</v>
      </c>
      <c r="AB148" s="45">
        <f t="shared" si="213"/>
        <v>23327964.622945435</v>
      </c>
      <c r="AC148" s="7">
        <f t="shared" si="155"/>
        <v>156222.01445400075</v>
      </c>
      <c r="AD148" s="7">
        <f t="shared" si="156"/>
        <v>1.5622201445400075</v>
      </c>
      <c r="AF148" s="11">
        <f t="shared" si="157"/>
        <v>0.10900784079888051</v>
      </c>
      <c r="AG148" s="11">
        <f t="shared" si="158"/>
        <v>0.1104452680399001</v>
      </c>
      <c r="AI148">
        <f t="shared" si="159"/>
        <v>7.1871362050979215E-4</v>
      </c>
      <c r="BN148">
        <v>44.01</v>
      </c>
      <c r="BO148" t="s">
        <v>266</v>
      </c>
      <c r="BR148" s="8"/>
      <c r="BS148" s="67"/>
      <c r="BT148" s="9"/>
      <c r="BU148" s="6"/>
      <c r="BV148" s="6"/>
      <c r="BW148" s="6"/>
      <c r="BX148" s="6"/>
      <c r="BY148" s="6"/>
      <c r="BZ148" s="6"/>
      <c r="CA148" s="6"/>
      <c r="CB148" s="6"/>
      <c r="CE148" s="73"/>
      <c r="CF148" s="73"/>
      <c r="CG148" s="73"/>
      <c r="CH148" s="73"/>
      <c r="CI148" s="73"/>
      <c r="CJ148" s="44"/>
      <c r="CK148" s="44"/>
      <c r="CL148" s="44"/>
      <c r="CM148" s="44"/>
      <c r="CN148" s="44"/>
      <c r="CO148" s="45"/>
      <c r="CP148" s="45"/>
      <c r="CQ148" s="45"/>
      <c r="CR148" s="45"/>
      <c r="CS148" s="45"/>
      <c r="CT148" s="7"/>
      <c r="CU148" s="7"/>
      <c r="CW148" s="11"/>
      <c r="CX148" s="11"/>
      <c r="DA148" s="8"/>
      <c r="DB148" s="67"/>
      <c r="DC148" s="9"/>
      <c r="DD148" s="6"/>
      <c r="DE148" s="6"/>
      <c r="DF148" s="6"/>
      <c r="DG148" s="6"/>
      <c r="DH148" s="6"/>
      <c r="DI148" s="6"/>
      <c r="DJ148" s="6"/>
      <c r="DK148" s="6"/>
      <c r="DN148" s="73"/>
      <c r="DO148" s="73"/>
      <c r="DP148" s="73"/>
      <c r="DQ148" s="73"/>
      <c r="DR148" s="73"/>
      <c r="DS148" s="44"/>
      <c r="DT148" s="44"/>
      <c r="DU148" s="44"/>
      <c r="DV148" s="44"/>
      <c r="DW148" s="44"/>
      <c r="DX148" s="45"/>
      <c r="DY148" s="45"/>
      <c r="DZ148" s="45"/>
      <c r="EA148" s="45"/>
      <c r="EB148" s="45"/>
      <c r="EC148" s="7"/>
      <c r="ED148" s="7"/>
      <c r="EI148" s="8"/>
      <c r="EJ148" s="67"/>
      <c r="EK148" s="9"/>
      <c r="EL148" s="6"/>
      <c r="EM148" s="6"/>
      <c r="EN148" s="6"/>
      <c r="EO148" s="6"/>
      <c r="EP148" s="6"/>
      <c r="EQ148" s="6"/>
      <c r="ER148" s="6"/>
      <c r="ES148" s="6"/>
      <c r="EV148" s="73"/>
      <c r="EW148" s="73"/>
      <c r="EX148" s="73"/>
      <c r="EY148" s="73"/>
      <c r="EZ148" s="73"/>
      <c r="FA148" s="44"/>
      <c r="FB148" s="44"/>
      <c r="FC148" s="44"/>
      <c r="FD148" s="44"/>
      <c r="FE148" s="44"/>
      <c r="FF148" s="45"/>
      <c r="FG148" s="45"/>
      <c r="FH148" s="45"/>
      <c r="FI148" s="45"/>
      <c r="FJ148" s="45"/>
      <c r="FK148" s="7"/>
      <c r="FL148" s="7"/>
      <c r="FQ148" s="8"/>
      <c r="FR148" s="67"/>
      <c r="FS148" s="9"/>
      <c r="FT148" s="6"/>
      <c r="FU148" s="6"/>
      <c r="FV148" s="6"/>
      <c r="FW148" s="6"/>
      <c r="FX148" s="6"/>
      <c r="FY148" s="6"/>
      <c r="FZ148" s="6"/>
      <c r="GA148" s="6"/>
      <c r="GD148" s="73"/>
      <c r="GE148" s="73"/>
      <c r="GF148" s="73"/>
      <c r="GG148" s="73"/>
      <c r="GH148" s="73"/>
      <c r="GI148" s="44"/>
      <c r="GJ148" s="44"/>
      <c r="GK148" s="44"/>
      <c r="GL148" s="44"/>
      <c r="GM148" s="44"/>
      <c r="GN148" s="45"/>
      <c r="GO148" s="45"/>
      <c r="GP148" s="45"/>
      <c r="GQ148" s="45"/>
      <c r="GR148" s="45"/>
      <c r="GS148" s="7"/>
      <c r="GT148" s="7"/>
    </row>
    <row r="149" spans="1:202" x14ac:dyDescent="0.3">
      <c r="A149" s="8">
        <f t="shared" si="148"/>
        <v>26.728933493268993</v>
      </c>
      <c r="B149" s="67">
        <f t="shared" si="127"/>
        <v>0.60733772990840706</v>
      </c>
      <c r="C149" s="9">
        <f t="shared" si="149"/>
        <v>58440512.192359984</v>
      </c>
      <c r="D149" s="6">
        <v>18.375473687654495</v>
      </c>
      <c r="E149" s="6"/>
      <c r="F149" s="6">
        <f t="shared" si="150"/>
        <v>7</v>
      </c>
      <c r="G149" s="6">
        <f t="shared" si="208"/>
        <v>420</v>
      </c>
      <c r="H149" s="6">
        <f t="shared" si="151"/>
        <v>25200</v>
      </c>
      <c r="I149" s="6">
        <f t="shared" si="201"/>
        <v>1800</v>
      </c>
      <c r="J149" s="6">
        <f t="shared" si="152"/>
        <v>25189875.944982752</v>
      </c>
      <c r="K149" s="6">
        <f t="shared" si="153"/>
        <v>251.89875944982751</v>
      </c>
      <c r="N149" s="73">
        <f>(S149*(10^-3)*$B$35*$I$149/$L$26)+N148</f>
        <v>57795567.314550921</v>
      </c>
      <c r="O149" s="73">
        <f>(T149*(10^-3)*$B$35*$I$149/$L$26)+O148</f>
        <v>58372112.689930461</v>
      </c>
      <c r="P149" s="73">
        <f>(U149*(10^-3)*$B$35*$I$149/$L$26)+P148</f>
        <v>58670603.766014762</v>
      </c>
      <c r="Q149" s="73">
        <f>(V149*(10^-3)*$B$35*$I$149/$L$26)+Q148</f>
        <v>58782001.057631038</v>
      </c>
      <c r="R149" s="73">
        <f>(W149*(10^-3)*$B$35*$I$149/$L$26)+R148</f>
        <v>58712799.377363019</v>
      </c>
      <c r="S149" s="44">
        <v>18.578343253118781</v>
      </c>
      <c r="T149" s="44">
        <v>18.081602457002283</v>
      </c>
      <c r="U149" s="44">
        <v>18.553377303171885</v>
      </c>
      <c r="V149" s="44">
        <v>18.751134340647535</v>
      </c>
      <c r="W149" s="44">
        <v>18.353574013916386</v>
      </c>
      <c r="X149" s="45">
        <f t="shared" si="209"/>
        <v>24911882.463168502</v>
      </c>
      <c r="Y149" s="45">
        <f t="shared" si="210"/>
        <v>25160393.400832098</v>
      </c>
      <c r="Z149" s="45">
        <f t="shared" si="211"/>
        <v>25289053.34742016</v>
      </c>
      <c r="AA149" s="45">
        <f t="shared" si="212"/>
        <v>25337069.42139269</v>
      </c>
      <c r="AB149" s="45">
        <f t="shared" si="213"/>
        <v>25307241.110932339</v>
      </c>
      <c r="AC149" s="7">
        <f t="shared" si="155"/>
        <v>156711.97607538346</v>
      </c>
      <c r="AD149" s="7">
        <f t="shared" si="156"/>
        <v>1.5671197607538345</v>
      </c>
      <c r="AF149" s="11">
        <f t="shared" si="157"/>
        <v>0.11854142957391252</v>
      </c>
      <c r="AG149" s="11">
        <f t="shared" si="158"/>
        <v>0.11972395128253691</v>
      </c>
      <c r="AI149">
        <f t="shared" si="159"/>
        <v>5.9126085431219361E-4</v>
      </c>
      <c r="BM149" t="s">
        <v>267</v>
      </c>
      <c r="BN149">
        <f>1.69</f>
        <v>1.69</v>
      </c>
      <c r="BO149" t="s">
        <v>27</v>
      </c>
      <c r="BR149" s="8"/>
      <c r="BS149" s="67"/>
      <c r="BT149" s="9"/>
      <c r="BU149" s="6"/>
      <c r="BV149" s="6"/>
      <c r="BW149" s="6"/>
      <c r="BX149" s="6"/>
      <c r="BY149" s="6"/>
      <c r="BZ149" s="6"/>
      <c r="CA149" s="6"/>
      <c r="CB149" s="6"/>
      <c r="CE149" s="73"/>
      <c r="CF149" s="73"/>
      <c r="CG149" s="73"/>
      <c r="CH149" s="73"/>
      <c r="CI149" s="73"/>
      <c r="CJ149" s="44"/>
      <c r="CK149" s="44"/>
      <c r="CL149" s="44"/>
      <c r="CM149" s="44"/>
      <c r="CN149" s="44"/>
      <c r="CO149" s="45"/>
      <c r="CP149" s="45"/>
      <c r="CQ149" s="45"/>
      <c r="CR149" s="45"/>
      <c r="CS149" s="45"/>
      <c r="CT149" s="7"/>
      <c r="CU149" s="7"/>
      <c r="CW149" s="11"/>
      <c r="CX149" s="11"/>
      <c r="DA149" s="8"/>
      <c r="DB149" s="67"/>
      <c r="DC149" s="9"/>
      <c r="DD149" s="6"/>
      <c r="DE149" s="6"/>
      <c r="DF149" s="6"/>
      <c r="DG149" s="6"/>
      <c r="DH149" s="6"/>
      <c r="DI149" s="6"/>
      <c r="DJ149" s="6"/>
      <c r="DK149" s="6"/>
      <c r="DN149" s="73"/>
      <c r="DO149" s="73"/>
      <c r="DP149" s="73"/>
      <c r="DQ149" s="73"/>
      <c r="DR149" s="73"/>
      <c r="DS149" s="44"/>
      <c r="DT149" s="44"/>
      <c r="DU149" s="44"/>
      <c r="DV149" s="44"/>
      <c r="DW149" s="44"/>
      <c r="DX149" s="45"/>
      <c r="DY149" s="45"/>
      <c r="DZ149" s="45"/>
      <c r="EA149" s="45"/>
      <c r="EB149" s="45"/>
      <c r="EC149" s="7"/>
      <c r="ED149" s="7"/>
      <c r="EI149" s="8"/>
      <c r="EJ149" s="67"/>
      <c r="EK149" s="9"/>
      <c r="EL149" s="6"/>
      <c r="EM149" s="6"/>
      <c r="EN149" s="6"/>
      <c r="EO149" s="6"/>
      <c r="EP149" s="6"/>
      <c r="EQ149" s="6"/>
      <c r="ER149" s="6"/>
      <c r="ES149" s="6"/>
      <c r="EV149" s="73"/>
      <c r="EW149" s="73"/>
      <c r="EX149" s="73"/>
      <c r="EY149" s="73"/>
      <c r="EZ149" s="73"/>
      <c r="FA149" s="44"/>
      <c r="FB149" s="44"/>
      <c r="FC149" s="44"/>
      <c r="FD149" s="44"/>
      <c r="FE149" s="44"/>
      <c r="FF149" s="45"/>
      <c r="FG149" s="45"/>
      <c r="FH149" s="45"/>
      <c r="FI149" s="45"/>
      <c r="FJ149" s="45"/>
      <c r="FK149" s="7"/>
      <c r="FL149" s="7"/>
      <c r="FQ149" s="8"/>
      <c r="FR149" s="67"/>
      <c r="FS149" s="9"/>
      <c r="FT149" s="6"/>
      <c r="FU149" s="6"/>
      <c r="FV149" s="6"/>
      <c r="FW149" s="6"/>
      <c r="FX149" s="6"/>
      <c r="FY149" s="6"/>
      <c r="FZ149" s="6"/>
      <c r="GA149" s="6"/>
      <c r="GD149" s="73"/>
      <c r="GE149" s="73"/>
      <c r="GF149" s="73"/>
      <c r="GG149" s="73"/>
      <c r="GH149" s="73"/>
      <c r="GI149" s="44"/>
      <c r="GJ149" s="44"/>
      <c r="GK149" s="44"/>
      <c r="GL149" s="44"/>
      <c r="GM149" s="44"/>
      <c r="GN149" s="45"/>
      <c r="GO149" s="45"/>
      <c r="GP149" s="45"/>
      <c r="GQ149" s="45"/>
      <c r="GR149" s="45"/>
      <c r="GS149" s="7"/>
      <c r="GT149" s="7"/>
    </row>
    <row r="150" spans="1:202" x14ac:dyDescent="0.3">
      <c r="A150" s="8">
        <f t="shared" si="148"/>
        <v>28.952628152829703</v>
      </c>
      <c r="B150" s="67">
        <f t="shared" si="127"/>
        <v>0.65786476148215645</v>
      </c>
      <c r="C150" s="9">
        <f t="shared" si="149"/>
        <v>63302429.144522294</v>
      </c>
      <c r="D150" s="6">
        <v>19.432726269662474</v>
      </c>
      <c r="E150" s="6"/>
      <c r="F150" s="6">
        <f t="shared" si="150"/>
        <v>7.5</v>
      </c>
      <c r="G150" s="6">
        <f t="shared" si="208"/>
        <v>450</v>
      </c>
      <c r="H150" s="6">
        <f t="shared" si="151"/>
        <v>27000</v>
      </c>
      <c r="I150" s="6">
        <f t="shared" si="201"/>
        <v>1800</v>
      </c>
      <c r="J150" s="6">
        <f t="shared" si="152"/>
        <v>27285529.803673405</v>
      </c>
      <c r="K150" s="6">
        <f t="shared" si="153"/>
        <v>272.85529803673404</v>
      </c>
      <c r="N150" s="73">
        <f>(S150*(10^-3)*$B$35*$I$150/$L$26)+N149</f>
        <v>62780949.445052952</v>
      </c>
      <c r="O150" s="73">
        <f>(T150*(10^-3)*$B$35*$I$150/$L$26)+O149</f>
        <v>63390884.684524328</v>
      </c>
      <c r="P150" s="73">
        <f>(U150*(10^-3)*$B$35*$I$150/$L$26)+P149</f>
        <v>63773413.763791233</v>
      </c>
      <c r="Q150" s="73">
        <f>(V150*(10^-3)*$B$35*$I$150/$L$26)+Q149</f>
        <v>63703151.726121448</v>
      </c>
      <c r="R150" s="73">
        <f>(W150*(10^-3)*$B$35*$I$150/$L$26)+R149</f>
        <v>63510175.33568725</v>
      </c>
      <c r="S150" s="44">
        <v>19.926207552481113</v>
      </c>
      <c r="T150" s="44">
        <v>20.059664395833675</v>
      </c>
      <c r="U150" s="44">
        <v>20.395558144773641</v>
      </c>
      <c r="V150" s="44">
        <v>19.66947909918721</v>
      </c>
      <c r="W150" s="44">
        <v>19.174760640309295</v>
      </c>
      <c r="X150" s="45">
        <f t="shared" si="209"/>
        <v>27060754.071143515</v>
      </c>
      <c r="Y150" s="45">
        <f t="shared" si="210"/>
        <v>27323657.191605315</v>
      </c>
      <c r="Z150" s="45">
        <f t="shared" si="211"/>
        <v>27488540.415427256</v>
      </c>
      <c r="AA150" s="45">
        <f t="shared" si="212"/>
        <v>27458255.054362696</v>
      </c>
      <c r="AB150" s="45">
        <f t="shared" si="213"/>
        <v>27375075.575727265</v>
      </c>
      <c r="AC150" s="7">
        <f t="shared" si="155"/>
        <v>151997.56024353908</v>
      </c>
      <c r="AD150" s="7">
        <f t="shared" si="156"/>
        <v>1.5199756024353908</v>
      </c>
      <c r="AF150" s="11">
        <f t="shared" si="157"/>
        <v>0.12876668303505748</v>
      </c>
      <c r="AG150" s="11">
        <f t="shared" si="158"/>
        <v>0.13001768892692697</v>
      </c>
      <c r="AI150">
        <f t="shared" si="159"/>
        <v>6.255029459347472E-4</v>
      </c>
      <c r="BM150" t="s">
        <v>268</v>
      </c>
      <c r="BN150">
        <v>0.15</v>
      </c>
      <c r="BO150" t="s">
        <v>113</v>
      </c>
      <c r="BR150" s="8"/>
      <c r="BS150" s="67"/>
      <c r="BT150" s="9"/>
      <c r="BU150" s="6"/>
      <c r="BV150" s="6"/>
      <c r="BW150" s="6"/>
      <c r="BX150" s="6"/>
      <c r="BY150" s="6"/>
      <c r="BZ150" s="6"/>
      <c r="CA150" s="6"/>
      <c r="CB150" s="6"/>
      <c r="CE150" s="73"/>
      <c r="CF150" s="73"/>
      <c r="CG150" s="73"/>
      <c r="CH150" s="73"/>
      <c r="CI150" s="73"/>
      <c r="CJ150" s="44"/>
      <c r="CK150" s="44"/>
      <c r="CL150" s="44"/>
      <c r="CM150" s="44"/>
      <c r="CN150" s="44"/>
      <c r="CO150" s="45"/>
      <c r="CP150" s="45"/>
      <c r="CQ150" s="45"/>
      <c r="CR150" s="45"/>
      <c r="CS150" s="45"/>
      <c r="CT150" s="7"/>
      <c r="CU150" s="7"/>
      <c r="CW150" s="11"/>
      <c r="CX150" s="11"/>
      <c r="DA150" s="8"/>
      <c r="DB150" s="67"/>
      <c r="DC150" s="9"/>
      <c r="DD150" s="6"/>
      <c r="DE150" s="6"/>
      <c r="DF150" s="6"/>
      <c r="DG150" s="6"/>
      <c r="DH150" s="6"/>
      <c r="DI150" s="6"/>
      <c r="DJ150" s="6"/>
      <c r="DK150" s="6"/>
      <c r="DN150" s="73"/>
      <c r="DO150" s="73"/>
      <c r="DP150" s="73"/>
      <c r="DQ150" s="73"/>
      <c r="DR150" s="73"/>
      <c r="DS150" s="44"/>
      <c r="DT150" s="44"/>
      <c r="DU150" s="44"/>
      <c r="DV150" s="44"/>
      <c r="DW150" s="44"/>
      <c r="DX150" s="45"/>
      <c r="DY150" s="45"/>
      <c r="DZ150" s="45"/>
      <c r="EA150" s="45"/>
      <c r="EB150" s="45"/>
      <c r="EC150" s="7"/>
      <c r="ED150" s="7"/>
      <c r="EI150" s="8"/>
      <c r="EJ150" s="67"/>
      <c r="EK150" s="9"/>
      <c r="EL150" s="6"/>
      <c r="EM150" s="6"/>
      <c r="EN150" s="6"/>
      <c r="EO150" s="6"/>
      <c r="EP150" s="6"/>
      <c r="EQ150" s="6"/>
      <c r="ER150" s="6"/>
      <c r="ES150" s="6"/>
      <c r="EV150" s="73"/>
      <c r="EW150" s="73"/>
      <c r="EX150" s="73"/>
      <c r="EY150" s="73"/>
      <c r="EZ150" s="73"/>
      <c r="FA150" s="44"/>
      <c r="FB150" s="44"/>
      <c r="FC150" s="44"/>
      <c r="FD150" s="44"/>
      <c r="FE150" s="44"/>
      <c r="FF150" s="45"/>
      <c r="FG150" s="45"/>
      <c r="FH150" s="45"/>
      <c r="FI150" s="45"/>
      <c r="FJ150" s="45"/>
      <c r="FK150" s="7"/>
      <c r="FL150" s="7"/>
      <c r="FQ150" s="8"/>
      <c r="FR150" s="67"/>
      <c r="FS150" s="9"/>
      <c r="FT150" s="6"/>
      <c r="FU150" s="6"/>
      <c r="FV150" s="6"/>
      <c r="FW150" s="6"/>
      <c r="FX150" s="6"/>
      <c r="FY150" s="6"/>
      <c r="FZ150" s="6"/>
      <c r="GA150" s="6"/>
      <c r="GD150" s="73"/>
      <c r="GE150" s="73"/>
      <c r="GF150" s="73"/>
      <c r="GG150" s="73"/>
      <c r="GH150" s="73"/>
      <c r="GI150" s="44"/>
      <c r="GJ150" s="44"/>
      <c r="GK150" s="44"/>
      <c r="GL150" s="44"/>
      <c r="GM150" s="44"/>
      <c r="GN150" s="45"/>
      <c r="GO150" s="45"/>
      <c r="GP150" s="45"/>
      <c r="GQ150" s="45"/>
      <c r="GR150" s="45"/>
      <c r="GS150" s="7"/>
      <c r="GT150" s="7"/>
    </row>
    <row r="151" spans="1:202" x14ac:dyDescent="0.3">
      <c r="A151" s="8">
        <f t="shared" si="148"/>
        <v>31.866335576484055</v>
      </c>
      <c r="B151" s="67">
        <f t="shared" si="127"/>
        <v>0.72407033802508647</v>
      </c>
      <c r="C151" s="9">
        <f t="shared" si="149"/>
        <v>69672999.607422441</v>
      </c>
      <c r="D151" s="6">
        <v>25.462703950974984</v>
      </c>
      <c r="E151" s="6"/>
      <c r="F151" s="6">
        <f t="shared" si="150"/>
        <v>8</v>
      </c>
      <c r="G151" s="6">
        <f t="shared" si="208"/>
        <v>480</v>
      </c>
      <c r="H151" s="6">
        <f t="shared" si="151"/>
        <v>28800</v>
      </c>
      <c r="I151" s="6">
        <f t="shared" si="201"/>
        <v>1800</v>
      </c>
      <c r="J151" s="6">
        <f t="shared" si="152"/>
        <v>30031465.348026916</v>
      </c>
      <c r="K151" s="6">
        <f t="shared" si="153"/>
        <v>300.31465348026916</v>
      </c>
      <c r="N151" s="73">
        <f>(S151*(10^-3)*$B$35*$I$151/$L$26)+N150</f>
        <v>69151519.907953098</v>
      </c>
      <c r="O151" s="73">
        <f>(T151*(10^-3)*$B$35*$I$151/$L$26)+O150</f>
        <v>69761455.147424474</v>
      </c>
      <c r="P151" s="73">
        <f>(U151*(10^-3)*$B$35*$I$151/$L$26)+P150</f>
        <v>70143984.22669138</v>
      </c>
      <c r="Q151" s="73">
        <f>(V151*(10^-3)*$B$35*$I$151/$L$26)+Q150</f>
        <v>70073722.189021602</v>
      </c>
      <c r="R151" s="73">
        <f>(W151*(10^-3)*$B$35*$I$151/$L$26)+R150</f>
        <v>69880745.798587397</v>
      </c>
      <c r="S151" s="44">
        <v>25.462703950974984</v>
      </c>
      <c r="T151" s="44">
        <v>25.462703950974984</v>
      </c>
      <c r="U151" s="44">
        <v>25.462703950974984</v>
      </c>
      <c r="V151" s="44">
        <v>25.462703950974984</v>
      </c>
      <c r="W151" s="44">
        <v>25.462703950974984</v>
      </c>
      <c r="X151" s="45">
        <f t="shared" si="209"/>
        <v>29806689.615497027</v>
      </c>
      <c r="Y151" s="45">
        <f t="shared" si="210"/>
        <v>30069592.735958826</v>
      </c>
      <c r="Z151" s="45">
        <f t="shared" si="211"/>
        <v>30234475.959780768</v>
      </c>
      <c r="AA151" s="45">
        <f t="shared" si="212"/>
        <v>30204190.598716211</v>
      </c>
      <c r="AB151" s="45">
        <f t="shared" si="213"/>
        <v>30121011.120080777</v>
      </c>
      <c r="AC151" s="7">
        <f t="shared" si="155"/>
        <v>151997.56024353966</v>
      </c>
      <c r="AD151" s="7">
        <f t="shared" si="156"/>
        <v>1.5199756024353965</v>
      </c>
      <c r="AF151" s="11">
        <f t="shared" si="157"/>
        <v>0.1418330229805328</v>
      </c>
      <c r="AG151" s="11">
        <f t="shared" si="158"/>
        <v>0.14308402887240229</v>
      </c>
      <c r="AI151">
        <f t="shared" si="159"/>
        <v>6.255029459347472E-4</v>
      </c>
      <c r="BM151" t="s">
        <v>267</v>
      </c>
      <c r="BN151">
        <f>BN149*BN148</f>
        <v>74.376899999999992</v>
      </c>
      <c r="BO151" t="s">
        <v>269</v>
      </c>
      <c r="BR151" s="8"/>
      <c r="BS151" s="67"/>
      <c r="BT151" s="9"/>
      <c r="BU151" s="6"/>
      <c r="BV151" s="6"/>
      <c r="BW151" s="6"/>
      <c r="BX151" s="6"/>
      <c r="BY151" s="6"/>
      <c r="BZ151" s="6"/>
      <c r="CA151" s="6"/>
      <c r="CB151" s="6"/>
      <c r="CE151" s="73"/>
      <c r="CF151" s="73"/>
      <c r="CG151" s="73"/>
      <c r="CH151" s="73"/>
      <c r="CI151" s="73"/>
      <c r="CJ151" s="44"/>
      <c r="CK151" s="44"/>
      <c r="CL151" s="44"/>
      <c r="CM151" s="44"/>
      <c r="CN151" s="44"/>
      <c r="CO151" s="45"/>
      <c r="CP151" s="45"/>
      <c r="CQ151" s="45"/>
      <c r="CR151" s="45"/>
      <c r="CS151" s="45"/>
      <c r="CT151" s="7"/>
      <c r="CU151" s="7"/>
      <c r="CW151" s="11"/>
      <c r="CX151" s="11"/>
      <c r="DA151" s="8"/>
      <c r="DB151" s="67"/>
      <c r="DC151" s="9"/>
      <c r="DD151" s="6"/>
      <c r="DE151" s="6"/>
      <c r="DF151" s="6"/>
      <c r="DG151" s="6"/>
      <c r="DH151" s="6"/>
      <c r="DI151" s="6"/>
      <c r="DJ151" s="6"/>
      <c r="DK151" s="6"/>
      <c r="DN151" s="73"/>
      <c r="DO151" s="73"/>
      <c r="DP151" s="73"/>
      <c r="DQ151" s="73"/>
      <c r="DR151" s="73"/>
      <c r="DS151" s="44"/>
      <c r="DT151" s="44"/>
      <c r="DU151" s="44"/>
      <c r="DV151" s="44"/>
      <c r="DW151" s="44"/>
      <c r="DX151" s="45"/>
      <c r="DY151" s="45"/>
      <c r="DZ151" s="45"/>
      <c r="EA151" s="45"/>
      <c r="EB151" s="45"/>
      <c r="EC151" s="7"/>
      <c r="ED151" s="7"/>
      <c r="EI151" s="8"/>
      <c r="EJ151" s="67"/>
      <c r="EK151" s="9"/>
      <c r="EL151" s="6"/>
      <c r="EM151" s="6"/>
      <c r="EN151" s="6"/>
      <c r="EO151" s="6"/>
      <c r="EP151" s="6"/>
      <c r="EQ151" s="6"/>
      <c r="ER151" s="6"/>
      <c r="ES151" s="6"/>
      <c r="EV151" s="73"/>
      <c r="EW151" s="73"/>
      <c r="EX151" s="73"/>
      <c r="EY151" s="73"/>
      <c r="EZ151" s="73"/>
      <c r="FA151" s="44"/>
      <c r="FB151" s="44"/>
      <c r="FC151" s="44"/>
      <c r="FD151" s="44"/>
      <c r="FE151" s="44"/>
      <c r="FF151" s="45"/>
      <c r="FG151" s="45"/>
      <c r="FH151" s="45"/>
      <c r="FI151" s="45"/>
      <c r="FJ151" s="45"/>
      <c r="FK151" s="7"/>
      <c r="FL151" s="7"/>
      <c r="FQ151" s="8"/>
      <c r="FR151" s="67"/>
      <c r="FS151" s="9"/>
      <c r="FT151" s="6"/>
      <c r="FU151" s="6"/>
      <c r="FV151" s="6"/>
      <c r="FW151" s="6"/>
      <c r="FX151" s="6"/>
      <c r="FY151" s="6"/>
      <c r="FZ151" s="6"/>
      <c r="GA151" s="6"/>
      <c r="GD151" s="73"/>
      <c r="GE151" s="73"/>
      <c r="GF151" s="73"/>
      <c r="GG151" s="73"/>
      <c r="GH151" s="73"/>
      <c r="GI151" s="44"/>
      <c r="GJ151" s="44"/>
      <c r="GK151" s="44"/>
      <c r="GL151" s="44"/>
      <c r="GM151" s="44"/>
      <c r="GN151" s="45"/>
      <c r="GO151" s="45"/>
      <c r="GP151" s="45"/>
      <c r="GQ151" s="45"/>
      <c r="GR151" s="45"/>
      <c r="GS151" s="7"/>
      <c r="GT151" s="7"/>
    </row>
    <row r="152" spans="1:202" x14ac:dyDescent="0.3">
      <c r="A152" t="s">
        <v>218</v>
      </c>
    </row>
    <row r="153" spans="1:202" x14ac:dyDescent="0.3">
      <c r="A153" t="s">
        <v>178</v>
      </c>
      <c r="B153">
        <v>44.01</v>
      </c>
      <c r="C153" t="s">
        <v>177</v>
      </c>
    </row>
    <row r="154" spans="1:202" x14ac:dyDescent="0.3">
      <c r="BM154" t="s">
        <v>270</v>
      </c>
      <c r="BN154">
        <v>2.2999999999999998</v>
      </c>
      <c r="BO154" t="s">
        <v>27</v>
      </c>
    </row>
    <row r="155" spans="1:202" x14ac:dyDescent="0.3">
      <c r="A155" s="14" t="s">
        <v>219</v>
      </c>
      <c r="B155" s="6"/>
      <c r="C155" s="5" t="s">
        <v>216</v>
      </c>
      <c r="D155" s="6"/>
      <c r="E155" s="6"/>
      <c r="F155" s="6"/>
      <c r="G155" s="6"/>
      <c r="I155" s="86" t="s">
        <v>248</v>
      </c>
      <c r="J155" s="33" t="s">
        <v>216</v>
      </c>
      <c r="K155" s="33"/>
      <c r="L155" s="33"/>
      <c r="M155" s="33"/>
      <c r="N155" s="34"/>
      <c r="P155" s="32"/>
      <c r="Q155" s="33" t="s">
        <v>247</v>
      </c>
      <c r="R155" s="33" t="s">
        <v>82</v>
      </c>
      <c r="S155" s="33" t="s">
        <v>249</v>
      </c>
      <c r="T155" s="34"/>
      <c r="AN155" t="s">
        <v>250</v>
      </c>
      <c r="BN155">
        <f>BN154*BN148</f>
        <v>101.22299999999998</v>
      </c>
      <c r="BO155" t="s">
        <v>269</v>
      </c>
    </row>
    <row r="156" spans="1:202" x14ac:dyDescent="0.3">
      <c r="A156" s="6"/>
      <c r="B156" s="6"/>
      <c r="C156" s="6" t="s">
        <v>92</v>
      </c>
      <c r="D156" s="6"/>
      <c r="E156" s="6"/>
      <c r="F156" s="6"/>
      <c r="G156" s="6"/>
      <c r="I156" s="87"/>
      <c r="J156" s="31" t="s">
        <v>92</v>
      </c>
      <c r="K156" s="31"/>
      <c r="L156" s="31"/>
      <c r="M156" s="31"/>
      <c r="N156" s="88"/>
      <c r="P156" s="87" t="s">
        <v>147</v>
      </c>
      <c r="Q156" s="31">
        <f>4.55*60/1000</f>
        <v>0.27300000000000002</v>
      </c>
      <c r="R156" s="31">
        <v>8</v>
      </c>
      <c r="S156" s="31">
        <f>Q156*R156</f>
        <v>2.1840000000000002</v>
      </c>
      <c r="T156" s="88"/>
      <c r="V156" s="86" t="s">
        <v>80</v>
      </c>
      <c r="W156" s="33"/>
      <c r="X156" s="33"/>
      <c r="Y156" s="34"/>
      <c r="AN156">
        <v>0.02</v>
      </c>
    </row>
    <row r="157" spans="1:202" x14ac:dyDescent="0.3">
      <c r="A157" s="6" t="s">
        <v>2</v>
      </c>
      <c r="B157" s="6"/>
      <c r="C157" s="6" t="s">
        <v>175</v>
      </c>
      <c r="D157" s="6" t="s">
        <v>174</v>
      </c>
      <c r="E157" s="6" t="s">
        <v>173</v>
      </c>
      <c r="F157" s="6" t="s">
        <v>69</v>
      </c>
      <c r="G157" s="6" t="s">
        <v>147</v>
      </c>
      <c r="I157" s="87"/>
      <c r="J157" s="31" t="s">
        <v>175</v>
      </c>
      <c r="K157" s="31" t="s">
        <v>174</v>
      </c>
      <c r="L157" s="31" t="s">
        <v>173</v>
      </c>
      <c r="M157" s="31" t="s">
        <v>69</v>
      </c>
      <c r="N157" s="88" t="s">
        <v>147</v>
      </c>
      <c r="P157" s="87" t="s">
        <v>69</v>
      </c>
      <c r="Q157" s="31">
        <f>4.55*60/1000</f>
        <v>0.27300000000000002</v>
      </c>
      <c r="R157" s="31">
        <v>3</v>
      </c>
      <c r="S157" s="31">
        <f>Q157*R157</f>
        <v>0.81900000000000006</v>
      </c>
      <c r="T157" s="88"/>
      <c r="V157" s="87"/>
      <c r="W157" s="31" t="s">
        <v>173</v>
      </c>
      <c r="X157" s="31" t="s">
        <v>69</v>
      </c>
      <c r="Y157" s="88" t="s">
        <v>147</v>
      </c>
      <c r="AN157">
        <v>0.8</v>
      </c>
    </row>
    <row r="158" spans="1:202" x14ac:dyDescent="0.3">
      <c r="A158" s="6" t="s">
        <v>79</v>
      </c>
      <c r="B158" s="6" t="s">
        <v>106</v>
      </c>
      <c r="C158" s="6"/>
      <c r="D158" s="6"/>
      <c r="E158" s="6"/>
      <c r="F158" s="6" t="s">
        <v>208</v>
      </c>
      <c r="G158" s="6" t="s">
        <v>208</v>
      </c>
      <c r="I158" s="87"/>
      <c r="J158" s="31"/>
      <c r="K158" s="31"/>
      <c r="L158" s="31"/>
      <c r="M158" s="31" t="s">
        <v>208</v>
      </c>
      <c r="N158" s="88" t="s">
        <v>208</v>
      </c>
      <c r="P158" s="35" t="s">
        <v>173</v>
      </c>
      <c r="Q158" s="36">
        <f>4.55*60/1000</f>
        <v>0.27300000000000002</v>
      </c>
      <c r="R158" s="36">
        <v>12</v>
      </c>
      <c r="S158" s="36">
        <f>Q158*R158</f>
        <v>3.2760000000000002</v>
      </c>
      <c r="T158" s="37"/>
      <c r="V158" s="87"/>
      <c r="W158" s="31"/>
      <c r="X158" s="31" t="s">
        <v>208</v>
      </c>
      <c r="Y158" s="88" t="s">
        <v>208</v>
      </c>
      <c r="AN158">
        <v>1.6</v>
      </c>
    </row>
    <row r="159" spans="1:202" x14ac:dyDescent="0.3">
      <c r="A159" s="66">
        <v>1.6666666666666666E-2</v>
      </c>
      <c r="B159" s="6">
        <v>1</v>
      </c>
      <c r="C159" s="6">
        <v>8.8543429638314518E-4</v>
      </c>
      <c r="D159" s="6">
        <v>1.7946690585276467E-3</v>
      </c>
      <c r="E159" s="6">
        <v>1.0353691752635752E-2</v>
      </c>
      <c r="F159" s="6">
        <v>4.2611083001830322E-2</v>
      </c>
      <c r="G159" s="6">
        <v>5.5544470842055327E-2</v>
      </c>
      <c r="I159" s="87"/>
      <c r="J159" s="31"/>
      <c r="K159" s="89"/>
      <c r="L159" s="31">
        <f>E159/$S$158</f>
        <v>3.1604675679596313E-3</v>
      </c>
      <c r="M159" s="31">
        <f t="shared" ref="M159:M165" si="215">F159/$S$157</f>
        <v>5.202818437341919E-2</v>
      </c>
      <c r="N159" s="88">
        <f t="shared" ref="N159:N167" si="216">G159/$S$156</f>
        <v>2.5432450019256099E-2</v>
      </c>
      <c r="V159" s="87"/>
      <c r="W159" s="31">
        <f>B128</f>
        <v>1</v>
      </c>
      <c r="X159" s="31">
        <f>B127</f>
        <v>1</v>
      </c>
      <c r="Y159" s="88">
        <f>B126</f>
        <v>1</v>
      </c>
      <c r="AM159" t="s">
        <v>251</v>
      </c>
      <c r="AN159">
        <v>3.2</v>
      </c>
    </row>
    <row r="160" spans="1:202" x14ac:dyDescent="0.3">
      <c r="A160" s="6">
        <v>0.5</v>
      </c>
      <c r="B160" s="6">
        <v>30</v>
      </c>
      <c r="C160" s="6">
        <v>4.0054745038748549E-2</v>
      </c>
      <c r="D160" s="6">
        <v>6.7544524724260868E-2</v>
      </c>
      <c r="E160" s="6">
        <v>0.33255758485808784</v>
      </c>
      <c r="F160" s="6">
        <v>1.3142049288820399</v>
      </c>
      <c r="G160" s="6">
        <v>1.7370754334102776</v>
      </c>
      <c r="I160" s="87"/>
      <c r="J160" s="31"/>
      <c r="K160" s="89"/>
      <c r="L160" s="31">
        <f t="shared" ref="L160:L170" si="217">E160/$S$158</f>
        <v>0.1015133042912356</v>
      </c>
      <c r="M160" s="31">
        <f t="shared" si="215"/>
        <v>1.6046458228107934</v>
      </c>
      <c r="N160" s="88">
        <f t="shared" si="216"/>
        <v>0.79536420943694019</v>
      </c>
      <c r="V160" s="87"/>
      <c r="W160" s="31">
        <f>C128</f>
        <v>1.0730934760321977</v>
      </c>
      <c r="X160" s="31">
        <f>C127</f>
        <v>1.0290295519867041</v>
      </c>
      <c r="Y160" s="88">
        <f>C126</f>
        <v>1.04391716072581</v>
      </c>
      <c r="AN160">
        <v>4.8</v>
      </c>
    </row>
    <row r="161" spans="1:82" x14ac:dyDescent="0.3">
      <c r="A161" s="6">
        <v>1</v>
      </c>
      <c r="B161" s="6">
        <v>60</v>
      </c>
      <c r="C161" s="6">
        <v>9.0814363032391016E-2</v>
      </c>
      <c r="D161" s="6">
        <v>0.13759001737120571</v>
      </c>
      <c r="E161" s="6">
        <v>0.665228378287824</v>
      </c>
      <c r="F161" s="6">
        <v>2.6281114838062485</v>
      </c>
      <c r="G161" s="6">
        <v>3.4854155628622738</v>
      </c>
      <c r="I161" s="87"/>
      <c r="J161" s="31"/>
      <c r="K161" s="89"/>
      <c r="L161" s="31">
        <f t="shared" si="217"/>
        <v>0.2030611655335238</v>
      </c>
      <c r="M161" s="31">
        <f t="shared" si="215"/>
        <v>3.2089273306547597</v>
      </c>
      <c r="N161" s="88">
        <f t="shared" si="216"/>
        <v>1.5958862467318102</v>
      </c>
      <c r="P161">
        <v>800</v>
      </c>
      <c r="Q161">
        <v>8.7249999999999996</v>
      </c>
      <c r="V161" s="87"/>
      <c r="W161" s="31">
        <f>D128</f>
        <v>1.0710214977024914</v>
      </c>
      <c r="X161" s="31">
        <f>D127</f>
        <v>1.0278284915278741</v>
      </c>
      <c r="Y161" s="88">
        <f>D126</f>
        <v>1.0492134218144626</v>
      </c>
      <c r="AN161">
        <v>6.6</v>
      </c>
    </row>
    <row r="162" spans="1:82" x14ac:dyDescent="0.3">
      <c r="A162" s="6">
        <v>1.5</v>
      </c>
      <c r="B162" s="6">
        <v>90</v>
      </c>
      <c r="C162" s="6">
        <v>0.14364508487415339</v>
      </c>
      <c r="D162" s="6">
        <v>0.20823787915832415</v>
      </c>
      <c r="E162" s="6">
        <v>0.99729295034356391</v>
      </c>
      <c r="F162" s="6">
        <v>3.9751213337043558</v>
      </c>
      <c r="G162" s="6">
        <v>5.2516511783160542</v>
      </c>
      <c r="I162" s="87"/>
      <c r="J162" s="31"/>
      <c r="K162" s="89"/>
      <c r="L162" s="31">
        <f t="shared" si="217"/>
        <v>0.30442397751635036</v>
      </c>
      <c r="M162" s="31">
        <f t="shared" si="215"/>
        <v>4.8536280020810203</v>
      </c>
      <c r="N162" s="88">
        <f t="shared" si="216"/>
        <v>2.404602187873651</v>
      </c>
      <c r="P162">
        <v>720</v>
      </c>
      <c r="Q162">
        <v>8.7249999999999996</v>
      </c>
      <c r="V162" s="87"/>
      <c r="W162" s="31">
        <f>E128</f>
        <v>1.0690697900781969</v>
      </c>
      <c r="X162" s="31">
        <f>E127</f>
        <v>1.053724176125922</v>
      </c>
      <c r="Y162" s="88">
        <f>E126</f>
        <v>1.0599528561994938</v>
      </c>
      <c r="AN162">
        <v>10.4</v>
      </c>
    </row>
    <row r="163" spans="1:82" x14ac:dyDescent="0.3">
      <c r="A163" s="6">
        <v>2</v>
      </c>
      <c r="B163" s="6">
        <v>120</v>
      </c>
      <c r="C163" s="6">
        <v>0.19711537391951253</v>
      </c>
      <c r="D163" s="6">
        <v>0.28017945437988306</v>
      </c>
      <c r="E163" s="6">
        <v>1.3404189096980488</v>
      </c>
      <c r="F163" s="6">
        <v>5.3661920554235598</v>
      </c>
      <c r="G163" s="6">
        <v>7.0554527036799888</v>
      </c>
      <c r="I163" s="87"/>
      <c r="J163" s="31"/>
      <c r="K163" s="89"/>
      <c r="L163" s="31">
        <f t="shared" si="217"/>
        <v>0.40916328134861069</v>
      </c>
      <c r="M163" s="31">
        <f t="shared" si="215"/>
        <v>6.5521270517992178</v>
      </c>
      <c r="N163" s="88">
        <f t="shared" si="216"/>
        <v>3.2305186372161119</v>
      </c>
      <c r="P163">
        <v>720</v>
      </c>
      <c r="Q163">
        <v>0</v>
      </c>
      <c r="V163" s="87"/>
      <c r="W163" s="31">
        <f>F128</f>
        <v>1.1046815234354606</v>
      </c>
      <c r="X163" s="31">
        <f>F127</f>
        <v>1.0881916344467251</v>
      </c>
      <c r="Y163" s="88">
        <f>F126</f>
        <v>1.0824969002424341</v>
      </c>
      <c r="AN163">
        <v>14.6</v>
      </c>
    </row>
    <row r="164" spans="1:82" x14ac:dyDescent="0.3">
      <c r="A164" s="6">
        <v>2.5</v>
      </c>
      <c r="B164" s="6">
        <v>150</v>
      </c>
      <c r="C164" s="6">
        <v>0.25068588579402445</v>
      </c>
      <c r="D164" s="6">
        <v>0.35343245924520389</v>
      </c>
      <c r="E164" s="6">
        <v>1.6871472119037221</v>
      </c>
      <c r="F164" s="6">
        <v>6.8540289985461396</v>
      </c>
      <c r="G164" s="6">
        <v>8.8351610891055312</v>
      </c>
      <c r="I164" s="87"/>
      <c r="J164" s="31"/>
      <c r="K164" s="89"/>
      <c r="L164" s="31">
        <f t="shared" si="217"/>
        <v>0.51500220143581255</v>
      </c>
      <c r="M164" s="31">
        <f t="shared" si="215"/>
        <v>8.3687777760026112</v>
      </c>
      <c r="N164" s="88">
        <f t="shared" si="216"/>
        <v>4.0454034290776235</v>
      </c>
      <c r="V164" s="87"/>
      <c r="W164" s="31">
        <f>G128</f>
        <v>1.1162791349839258</v>
      </c>
      <c r="X164" s="31">
        <f>G127</f>
        <v>1.1638888588826144</v>
      </c>
      <c r="Y164" s="88">
        <f>G126</f>
        <v>1.0680381313958143</v>
      </c>
    </row>
    <row r="165" spans="1:82" x14ac:dyDescent="0.3">
      <c r="A165" s="6">
        <v>3</v>
      </c>
      <c r="B165" s="6">
        <v>180</v>
      </c>
      <c r="C165" s="6">
        <v>0.31475063867411801</v>
      </c>
      <c r="D165" s="6">
        <v>0.43094507239205243</v>
      </c>
      <c r="E165" s="6">
        <v>2.0374462383429273</v>
      </c>
      <c r="F165" s="6">
        <v>8.501185149121028</v>
      </c>
      <c r="G165" s="6">
        <v>10.647694029561556</v>
      </c>
      <c r="I165" s="87"/>
      <c r="J165" s="31"/>
      <c r="K165" s="89"/>
      <c r="L165" s="31">
        <f t="shared" si="217"/>
        <v>0.62193108618526471</v>
      </c>
      <c r="M165" s="31">
        <f t="shared" si="215"/>
        <v>10.379957447034222</v>
      </c>
      <c r="N165" s="88">
        <f t="shared" si="216"/>
        <v>4.875317779103276</v>
      </c>
      <c r="P165">
        <v>800</v>
      </c>
      <c r="Q165">
        <v>8.5</v>
      </c>
      <c r="V165" s="87"/>
      <c r="W165" s="31">
        <f>H128</f>
        <v>1.1277749515449547</v>
      </c>
      <c r="X165" s="31">
        <f>H127</f>
        <v>1.2885193510994428</v>
      </c>
      <c r="Y165" s="88">
        <f>H126</f>
        <v>1.0877367947868251</v>
      </c>
    </row>
    <row r="166" spans="1:82" x14ac:dyDescent="0.3">
      <c r="A166" s="6">
        <v>4</v>
      </c>
      <c r="B166" s="6">
        <v>240</v>
      </c>
      <c r="C166" s="6">
        <v>0.44004521572279931</v>
      </c>
      <c r="D166" s="6">
        <v>0.58734334859879145</v>
      </c>
      <c r="E166" s="6">
        <v>2.7382430288743249</v>
      </c>
      <c r="F166" s="6"/>
      <c r="G166" s="6">
        <v>14.579633965261616</v>
      </c>
      <c r="I166" s="87"/>
      <c r="J166" s="31"/>
      <c r="K166" s="89"/>
      <c r="L166" s="31">
        <f t="shared" si="217"/>
        <v>0.83584952041340799</v>
      </c>
      <c r="M166" s="31"/>
      <c r="N166" s="88">
        <f t="shared" si="216"/>
        <v>6.6756565775007397</v>
      </c>
      <c r="P166">
        <v>180</v>
      </c>
      <c r="Q166">
        <v>8.5</v>
      </c>
      <c r="V166" s="87"/>
      <c r="W166" s="31">
        <f>I128</f>
        <v>1.1280948658610832</v>
      </c>
      <c r="X166" s="31"/>
      <c r="Y166" s="88">
        <f>I126</f>
        <v>1.1810020772082279</v>
      </c>
      <c r="AB166" s="94"/>
      <c r="AC166" s="95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70" t="s">
        <v>215</v>
      </c>
      <c r="AO166" s="5" t="s">
        <v>252</v>
      </c>
      <c r="AP166" s="6"/>
      <c r="AQ166" s="6"/>
      <c r="AR166" s="6"/>
      <c r="AS166" s="6"/>
      <c r="AT166" s="6"/>
      <c r="AU166" s="6"/>
      <c r="AV166" s="6"/>
      <c r="BH166" s="58"/>
      <c r="BJ166" s="6"/>
      <c r="BK166" s="14" t="s">
        <v>221</v>
      </c>
      <c r="BL166" s="14" t="s">
        <v>222</v>
      </c>
      <c r="BM166" s="6"/>
      <c r="BN166" s="6"/>
      <c r="BO166" s="6"/>
      <c r="BP166" s="6"/>
      <c r="BQ166" s="6"/>
      <c r="BR166" s="6"/>
    </row>
    <row r="167" spans="1:82" x14ac:dyDescent="0.3">
      <c r="A167" s="6">
        <v>6</v>
      </c>
      <c r="B167" s="6">
        <v>360</v>
      </c>
      <c r="C167" s="6">
        <v>0.73735125436193838</v>
      </c>
      <c r="D167" s="6">
        <v>0.90641466321958575</v>
      </c>
      <c r="E167" s="6">
        <v>4.2078942984163561</v>
      </c>
      <c r="F167" s="6"/>
      <c r="G167" s="6">
        <v>22.477111970758774</v>
      </c>
      <c r="I167" s="87"/>
      <c r="J167" s="31"/>
      <c r="K167" s="89"/>
      <c r="L167" s="31">
        <f t="shared" si="217"/>
        <v>1.2844610190526116</v>
      </c>
      <c r="M167" s="31"/>
      <c r="N167" s="88">
        <f t="shared" si="216"/>
        <v>10.291717935329109</v>
      </c>
      <c r="P167">
        <v>180</v>
      </c>
      <c r="Q167">
        <v>0</v>
      </c>
      <c r="V167" s="87"/>
      <c r="W167" s="31">
        <f>J128</f>
        <v>1.1828721779101159</v>
      </c>
      <c r="X167" s="31"/>
      <c r="Y167" s="88">
        <f>J126</f>
        <v>1.1824857230134691</v>
      </c>
      <c r="AB167" s="95"/>
      <c r="AC167" s="96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5" t="s">
        <v>246</v>
      </c>
      <c r="AO167" s="71">
        <v>0.02</v>
      </c>
      <c r="AP167" s="71">
        <v>0.8</v>
      </c>
      <c r="AQ167" s="71">
        <v>1.6</v>
      </c>
      <c r="AR167" s="71">
        <v>3.2</v>
      </c>
      <c r="AS167" s="71">
        <v>4.8</v>
      </c>
      <c r="AT167" s="71">
        <v>6.6</v>
      </c>
      <c r="AU167" s="71">
        <v>10.4</v>
      </c>
      <c r="AV167" s="71">
        <v>14.6</v>
      </c>
      <c r="AW167" s="71">
        <f>AY121</f>
        <v>25.637924955686486</v>
      </c>
      <c r="AX167" s="71">
        <f>AY122</f>
        <v>36.363667013986223</v>
      </c>
      <c r="AY167" s="71">
        <f>AY123</f>
        <v>47.022541816120068</v>
      </c>
      <c r="AZ167" s="71">
        <f>AY124</f>
        <v>56.551994158358305</v>
      </c>
      <c r="BA167" s="71">
        <f>AY125</f>
        <v>65.706535734448579</v>
      </c>
      <c r="BB167" s="71">
        <f>AY126</f>
        <v>75.152718281820171</v>
      </c>
      <c r="BC167" s="71">
        <f>AY127</f>
        <v>84.432080238998495</v>
      </c>
      <c r="BD167" s="71">
        <f>AY128</f>
        <v>93.96130798294125</v>
      </c>
      <c r="BE167" s="71">
        <f>AY129</f>
        <v>103.49068545909603</v>
      </c>
      <c r="BF167" s="71">
        <f>AY130</f>
        <v>113.32381805891949</v>
      </c>
      <c r="BG167" s="71">
        <f>AY131</f>
        <v>119.7693093088764</v>
      </c>
      <c r="BH167" s="71">
        <f>AY132</f>
        <v>126.21480055883335</v>
      </c>
      <c r="BJ167" s="6"/>
      <c r="BK167" s="5" t="s">
        <v>279</v>
      </c>
      <c r="BL167" s="6"/>
      <c r="BM167" s="6"/>
      <c r="BN167" s="6"/>
      <c r="BO167" s="6"/>
      <c r="BP167" s="6"/>
      <c r="BQ167" s="6"/>
      <c r="BR167" s="6"/>
    </row>
    <row r="168" spans="1:82" x14ac:dyDescent="0.3">
      <c r="A168" s="6">
        <v>8</v>
      </c>
      <c r="B168" s="6">
        <v>480</v>
      </c>
      <c r="C168" s="6">
        <v>1.036461043105356</v>
      </c>
      <c r="D168" s="6">
        <v>1.2267879171014038</v>
      </c>
      <c r="E168" s="6">
        <v>5.7032566732353391</v>
      </c>
      <c r="F168" s="6"/>
      <c r="G168" s="6">
        <v>31.866335576484058</v>
      </c>
      <c r="I168" s="87"/>
      <c r="J168" s="31"/>
      <c r="K168" s="89"/>
      <c r="L168" s="31">
        <f t="shared" si="217"/>
        <v>1.7409208404259275</v>
      </c>
      <c r="M168" s="31"/>
      <c r="N168" s="88">
        <f>G168/$S$156</f>
        <v>14.59081299289563</v>
      </c>
      <c r="V168" s="87"/>
      <c r="W168" s="31">
        <f>K128</f>
        <v>1.2035661695567892</v>
      </c>
      <c r="X168" s="31"/>
      <c r="Y168" s="88">
        <f>K126</f>
        <v>1.7485733380133592</v>
      </c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 t="s">
        <v>264</v>
      </c>
      <c r="AN168" s="50">
        <v>0</v>
      </c>
      <c r="AO168" s="52">
        <v>1</v>
      </c>
      <c r="AP168" s="52">
        <v>1.01</v>
      </c>
      <c r="AQ168" s="52">
        <v>1</v>
      </c>
      <c r="AR168" s="52"/>
      <c r="AS168" s="52"/>
      <c r="AT168" s="52"/>
      <c r="AU168" s="52"/>
      <c r="AV168" s="52"/>
      <c r="BE168">
        <v>1</v>
      </c>
      <c r="BH168" s="92"/>
      <c r="BJ168" s="5" t="s">
        <v>92</v>
      </c>
      <c r="BK168" s="91">
        <v>0.02</v>
      </c>
      <c r="BL168" s="71">
        <v>0.8</v>
      </c>
      <c r="BM168" s="71">
        <v>1.6</v>
      </c>
      <c r="BN168" s="71">
        <v>3.2</v>
      </c>
      <c r="BO168" s="71">
        <v>4.8</v>
      </c>
      <c r="BP168" s="71">
        <v>6.6</v>
      </c>
      <c r="BQ168" s="71">
        <v>10.4</v>
      </c>
      <c r="BR168" s="71">
        <v>14.6</v>
      </c>
      <c r="BS168" s="71">
        <v>25.637924955686486</v>
      </c>
      <c r="BT168" s="71">
        <v>36.363667013986223</v>
      </c>
      <c r="BU168" s="71">
        <v>47.022541816120068</v>
      </c>
      <c r="BV168" s="71">
        <v>56.551994158358305</v>
      </c>
      <c r="BW168" s="71">
        <v>65.706535734448579</v>
      </c>
      <c r="BX168" s="71">
        <v>75.152718281820171</v>
      </c>
      <c r="BY168" s="71">
        <v>84.432080238998495</v>
      </c>
      <c r="BZ168" s="71">
        <v>93.96130798294125</v>
      </c>
      <c r="CA168" s="71">
        <v>103.49068545909603</v>
      </c>
      <c r="CB168" s="71">
        <v>113.32381805891949</v>
      </c>
      <c r="CC168" s="71">
        <v>119.7693093088764</v>
      </c>
      <c r="CD168" s="71">
        <v>126.21480055883335</v>
      </c>
    </row>
    <row r="169" spans="1:82" x14ac:dyDescent="0.3">
      <c r="A169" s="6">
        <v>10</v>
      </c>
      <c r="B169" s="6">
        <v>600</v>
      </c>
      <c r="C169" s="6">
        <v>1.3343092205814644</v>
      </c>
      <c r="D169" s="6">
        <v>1.5714034834887287</v>
      </c>
      <c r="E169" s="6">
        <v>7.2065983036811696</v>
      </c>
      <c r="F169" s="6"/>
      <c r="G169" s="6"/>
      <c r="I169" s="87"/>
      <c r="J169" s="31"/>
      <c r="K169" s="89"/>
      <c r="L169" s="31">
        <f t="shared" si="217"/>
        <v>2.199816332015009</v>
      </c>
      <c r="M169" s="31"/>
      <c r="N169" s="88"/>
      <c r="P169">
        <v>800</v>
      </c>
      <c r="Q169">
        <v>31.866</v>
      </c>
      <c r="V169" s="87"/>
      <c r="W169" s="31">
        <f>L128</f>
        <v>1.2099884002431005</v>
      </c>
      <c r="X169" s="31"/>
      <c r="Y169" s="8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0">
        <v>0.6</v>
      </c>
      <c r="AO169" s="52">
        <v>1</v>
      </c>
      <c r="AP169" s="52">
        <v>1.1200000000000001</v>
      </c>
      <c r="AQ169" s="52">
        <v>1.2</v>
      </c>
      <c r="AR169" s="52">
        <v>1.22</v>
      </c>
      <c r="AS169" s="52"/>
      <c r="AT169" s="52"/>
      <c r="AU169" s="52"/>
      <c r="AV169" s="52"/>
      <c r="BE169">
        <v>1</v>
      </c>
      <c r="BH169" s="58"/>
      <c r="BJ169" s="50" t="s">
        <v>253</v>
      </c>
      <c r="BK169" s="43">
        <v>0.04</v>
      </c>
      <c r="BL169" s="43">
        <v>0.02</v>
      </c>
      <c r="BM169" s="43">
        <v>0.03</v>
      </c>
      <c r="BN169" s="43"/>
      <c r="BO169" s="43"/>
      <c r="BP169" s="43"/>
      <c r="BQ169" s="43"/>
      <c r="BR169" s="43"/>
    </row>
    <row r="170" spans="1:82" x14ac:dyDescent="0.3">
      <c r="A170" s="6">
        <v>12</v>
      </c>
      <c r="B170" s="6">
        <v>720</v>
      </c>
      <c r="C170" s="6">
        <v>1.737870653730369</v>
      </c>
      <c r="D170" s="6">
        <v>1.9426031363301834</v>
      </c>
      <c r="E170" s="6">
        <v>8.725132876324535</v>
      </c>
      <c r="F170" s="6"/>
      <c r="G170" s="6"/>
      <c r="I170" s="87"/>
      <c r="J170" s="31"/>
      <c r="K170" s="89"/>
      <c r="L170" s="31">
        <f t="shared" si="217"/>
        <v>2.6633494738475378</v>
      </c>
      <c r="M170" s="31"/>
      <c r="N170" s="88"/>
      <c r="P170">
        <v>480</v>
      </c>
      <c r="Q170">
        <v>31.866</v>
      </c>
      <c r="V170" s="87"/>
      <c r="W170" s="31">
        <f>M128</f>
        <v>1.2222166811955335</v>
      </c>
      <c r="X170" s="31"/>
      <c r="Y170" s="8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0">
        <v>2.2999999999999998</v>
      </c>
      <c r="AO170" s="52">
        <v>1</v>
      </c>
      <c r="AP170" s="52">
        <v>1.03</v>
      </c>
      <c r="AQ170" s="52">
        <v>1.03</v>
      </c>
      <c r="AR170" s="52">
        <v>1.03</v>
      </c>
      <c r="AS170" s="52">
        <v>1.05</v>
      </c>
      <c r="AT170" s="52">
        <v>1.0900000000000001</v>
      </c>
      <c r="AU170" s="52">
        <v>1.29</v>
      </c>
      <c r="AV170" s="52"/>
      <c r="BE170">
        <v>1</v>
      </c>
      <c r="BH170" s="58"/>
      <c r="BJ170" s="50" t="s">
        <v>173</v>
      </c>
      <c r="BK170" s="43">
        <v>5.4427418952027254E-2</v>
      </c>
      <c r="BL170" s="43">
        <v>2.1386083423861918E-2</v>
      </c>
      <c r="BM170" s="43">
        <v>7.7985251125457844E-2</v>
      </c>
      <c r="BN170" s="43">
        <v>2.3919327152992682E-2</v>
      </c>
      <c r="BO170" s="43"/>
      <c r="BP170" s="43"/>
      <c r="BQ170" s="43"/>
      <c r="BR170" s="43"/>
    </row>
    <row r="171" spans="1:82" x14ac:dyDescent="0.3">
      <c r="A171" s="6"/>
      <c r="B171" s="6"/>
      <c r="C171" s="6"/>
      <c r="D171" s="6"/>
      <c r="E171" s="6"/>
      <c r="F171" s="6"/>
      <c r="G171" s="6"/>
      <c r="I171" s="35"/>
      <c r="J171" s="36"/>
      <c r="K171" s="90"/>
      <c r="L171" s="36"/>
      <c r="M171" s="36"/>
      <c r="N171" s="37"/>
      <c r="P171">
        <v>480</v>
      </c>
      <c r="Q171">
        <v>0</v>
      </c>
      <c r="V171" s="35"/>
      <c r="W171" s="36"/>
      <c r="X171" s="36"/>
      <c r="Y171" s="37"/>
      <c r="AN171" s="50">
        <v>3</v>
      </c>
      <c r="AO171" s="52">
        <v>1</v>
      </c>
      <c r="AP171" s="52">
        <v>1.04</v>
      </c>
      <c r="AQ171" s="52">
        <v>1.03</v>
      </c>
      <c r="AR171" s="52">
        <v>1.08</v>
      </c>
      <c r="AS171" s="52">
        <v>1.08</v>
      </c>
      <c r="AT171" s="52">
        <v>1.18</v>
      </c>
      <c r="AU171" s="52">
        <v>1.1819999999999999</v>
      </c>
      <c r="AV171" s="52">
        <v>1.75</v>
      </c>
      <c r="BE171">
        <v>1</v>
      </c>
      <c r="BH171" s="93"/>
      <c r="BJ171" s="50" t="s">
        <v>69</v>
      </c>
      <c r="BK171" s="43">
        <v>1.5120728080362507E-2</v>
      </c>
      <c r="BL171" s="43">
        <v>6.1647678745770122E-3</v>
      </c>
      <c r="BM171" s="43">
        <v>5.5150431552011825E-3</v>
      </c>
      <c r="BN171" s="43">
        <v>3.7355106769575448E-3</v>
      </c>
      <c r="BO171" s="43">
        <v>7.9826988127281936E-3</v>
      </c>
      <c r="BP171" s="43">
        <v>5.7586380916798486E-3</v>
      </c>
      <c r="BQ171" s="43">
        <v>6.6086864769263953E-2</v>
      </c>
      <c r="BR171" s="43"/>
    </row>
    <row r="172" spans="1:82" x14ac:dyDescent="0.3">
      <c r="A172" s="6"/>
      <c r="B172" s="6"/>
      <c r="C172" s="6"/>
      <c r="D172" s="6"/>
      <c r="E172" s="6"/>
      <c r="F172" s="6"/>
      <c r="G172" s="6"/>
      <c r="K172" s="28"/>
      <c r="AM172" t="s">
        <v>263</v>
      </c>
      <c r="AN172" s="98">
        <v>3.3</v>
      </c>
      <c r="AO172" s="52">
        <f>AM119</f>
        <v>1</v>
      </c>
      <c r="AP172" s="52"/>
      <c r="AQ172" s="52"/>
      <c r="AR172" s="52"/>
      <c r="AS172" s="52"/>
      <c r="AT172" s="52"/>
      <c r="AU172" s="52"/>
      <c r="AV172" s="101">
        <f>AM120</f>
        <v>0.81599308105145418</v>
      </c>
      <c r="AW172" s="101">
        <f>AM121</f>
        <v>0.72021664588063727</v>
      </c>
      <c r="AX172" s="101">
        <f>AM122</f>
        <v>0.64396330122480816</v>
      </c>
      <c r="AY172" s="101">
        <f>AM123</f>
        <v>0.57212572545168494</v>
      </c>
      <c r="AZ172" s="101">
        <f>AM124</f>
        <v>0.57213921011866997</v>
      </c>
      <c r="BA172" s="101">
        <f>AM125</f>
        <v>0.54962992606903793</v>
      </c>
      <c r="BB172" s="101">
        <f>AM126</f>
        <v>0.56713977122640835</v>
      </c>
      <c r="BC172" s="101">
        <f>AM127</f>
        <v>0.55712402244285386</v>
      </c>
      <c r="BD172" s="101">
        <f>AM128</f>
        <v>0.57212572545168494</v>
      </c>
      <c r="BE172" s="101">
        <f>AM129</f>
        <v>0.57213471523058068</v>
      </c>
      <c r="BF172" s="101">
        <f>AM130</f>
        <v>8.8114198593005142</v>
      </c>
      <c r="BG172" s="101">
        <f>AM131</f>
        <v>4.4605965577610647</v>
      </c>
      <c r="BH172" s="101">
        <f>AM132</f>
        <v>3.2984511132478538</v>
      </c>
      <c r="BJ172" s="50" t="s">
        <v>147</v>
      </c>
      <c r="BK172" s="68">
        <v>1.0699097055127985E-2</v>
      </c>
      <c r="BL172" s="68">
        <v>3.7071638106582253E-3</v>
      </c>
      <c r="BM172" s="68">
        <v>3.1588790839325752E-3</v>
      </c>
      <c r="BN172" s="68">
        <v>4.6700980641243579E-3</v>
      </c>
      <c r="BO172" s="68">
        <v>1.2373163505861887E-2</v>
      </c>
      <c r="BP172" s="68">
        <v>5.4899551286463604E-3</v>
      </c>
      <c r="BQ172" s="68">
        <v>7.1580161986379972E-3</v>
      </c>
      <c r="BR172" s="68">
        <v>2.5286158879300425E-3</v>
      </c>
    </row>
    <row r="173" spans="1:82" x14ac:dyDescent="0.3">
      <c r="A173" s="6"/>
      <c r="B173" s="6"/>
      <c r="C173" s="6"/>
      <c r="D173" s="6"/>
      <c r="E173" s="6"/>
      <c r="F173" s="6"/>
      <c r="G173" s="6"/>
      <c r="K173" s="28"/>
      <c r="BR173" s="68">
        <v>6.0818751347776388E-2</v>
      </c>
      <c r="BS173" s="68">
        <v>3.9378617214333056E-2</v>
      </c>
      <c r="BT173" s="68">
        <v>2.3030790094804486E-2</v>
      </c>
      <c r="BU173" s="68">
        <v>1.0985106263293298E-2</v>
      </c>
      <c r="BV173" s="68">
        <v>1.8942122827814156E-2</v>
      </c>
      <c r="BW173" s="68">
        <v>9.2314965285494877E-4</v>
      </c>
      <c r="BX173" s="68">
        <v>1.8821309405207876E-2</v>
      </c>
      <c r="BY173" s="68">
        <v>1.1367820447103327E-2</v>
      </c>
      <c r="BZ173" s="68">
        <v>3.8893063263926109E-2</v>
      </c>
      <c r="CA173" s="68">
        <v>1.0092500752081901E-3</v>
      </c>
      <c r="CB173" s="68">
        <v>6.2871310014545601E-3</v>
      </c>
      <c r="CC173" s="68">
        <v>6.2871310014545601E-3</v>
      </c>
      <c r="CD173" s="68">
        <v>6.2871310014545601E-3</v>
      </c>
    </row>
    <row r="174" spans="1:82" x14ac:dyDescent="0.3">
      <c r="A174" s="6"/>
      <c r="B174" s="6"/>
      <c r="C174" s="6"/>
      <c r="D174" s="6"/>
      <c r="E174" s="6"/>
      <c r="F174" s="6"/>
      <c r="G174" s="6"/>
      <c r="K174" s="28"/>
    </row>
    <row r="175" spans="1:82" x14ac:dyDescent="0.3">
      <c r="K175" s="28"/>
    </row>
    <row r="177" spans="13:47" x14ac:dyDescent="0.3">
      <c r="R177" s="12" t="s">
        <v>51</v>
      </c>
      <c r="S177" s="6"/>
      <c r="T177" s="6"/>
      <c r="U177" s="6"/>
      <c r="V177" s="6"/>
      <c r="AD177" s="12" t="s">
        <v>70</v>
      </c>
      <c r="AE177" s="12" t="s">
        <v>231</v>
      </c>
      <c r="AF177" s="6"/>
      <c r="AG177" s="6"/>
      <c r="AH177" s="6"/>
      <c r="AP177" s="12" t="s">
        <v>90</v>
      </c>
      <c r="AQ177" s="6"/>
      <c r="AR177" s="6"/>
      <c r="AS177" s="6"/>
      <c r="AT177" s="6"/>
    </row>
    <row r="178" spans="13:47" x14ac:dyDescent="0.3">
      <c r="M178" s="5" t="s">
        <v>188</v>
      </c>
      <c r="N178" s="42"/>
      <c r="O178" s="42"/>
      <c r="P178" s="42"/>
      <c r="Q178" s="40"/>
      <c r="R178" s="41" t="s">
        <v>52</v>
      </c>
      <c r="S178" s="42"/>
      <c r="T178" s="42"/>
      <c r="U178" s="40"/>
      <c r="V178" s="6"/>
      <c r="W178" s="59" t="s">
        <v>162</v>
      </c>
      <c r="Y178" s="5" t="s">
        <v>188</v>
      </c>
      <c r="Z178" s="42"/>
      <c r="AA178" s="42"/>
      <c r="AB178" s="42"/>
      <c r="AC178" s="40"/>
      <c r="AD178" s="41" t="s">
        <v>52</v>
      </c>
      <c r="AE178" s="42"/>
      <c r="AF178" s="42"/>
      <c r="AG178" s="40"/>
      <c r="AH178" s="6"/>
      <c r="AI178" s="59" t="s">
        <v>162</v>
      </c>
      <c r="AK178" s="5" t="s">
        <v>188</v>
      </c>
      <c r="AL178" s="42"/>
      <c r="AM178" s="42"/>
      <c r="AN178" s="42"/>
      <c r="AO178" s="40"/>
      <c r="AP178" s="41" t="s">
        <v>52</v>
      </c>
      <c r="AQ178" s="42"/>
      <c r="AR178" s="42"/>
      <c r="AS178" s="40"/>
      <c r="AT178" s="6"/>
      <c r="AU178" s="59" t="s">
        <v>162</v>
      </c>
    </row>
    <row r="179" spans="13:47" x14ac:dyDescent="0.3">
      <c r="M179" s="72">
        <f t="shared" ref="M179:M195" si="218">$B$153*R179*$L$26</f>
        <v>5.4667058819755365E-2</v>
      </c>
      <c r="N179" s="72">
        <f t="shared" ref="N179:N195" si="219">$B$153*S179*$L$26</f>
        <v>5.63341966378159E-2</v>
      </c>
      <c r="O179" s="72">
        <f t="shared" ref="O179:O195" si="220">$B$153*T179*$L$26</f>
        <v>5.4806456433776317E-2</v>
      </c>
      <c r="P179" s="72">
        <f t="shared" ref="P179:P195" si="221">$B$153*U179*$L$26</f>
        <v>5.5398066011375792E-2</v>
      </c>
      <c r="Q179" s="72">
        <f t="shared" ref="Q179:Q195" si="222">$B$153*V179*$L$26</f>
        <v>5.5531788983447773E-2</v>
      </c>
      <c r="R179" s="43">
        <v>119524.81823791796</v>
      </c>
      <c r="S179" s="43">
        <v>123169.87156588728</v>
      </c>
      <c r="T179" s="43">
        <v>119829.59912129397</v>
      </c>
      <c r="U179" s="43">
        <v>121123.1025355445</v>
      </c>
      <c r="V179" s="43">
        <v>121415.47630278589</v>
      </c>
      <c r="W179" s="7">
        <f t="shared" ref="W179:W195" si="223">_xlfn.STDEV.P(M179:Q179)</f>
        <v>5.9427568441488047E-4</v>
      </c>
      <c r="Y179" s="72">
        <f t="shared" ref="Y179:AC185" si="224">$B$153*AD179*$L$26</f>
        <v>4.1598270856922123E-2</v>
      </c>
      <c r="Z179" s="72">
        <f t="shared" si="224"/>
        <v>4.1832052069347661E-2</v>
      </c>
      <c r="AA179" s="72">
        <f t="shared" si="224"/>
        <v>4.2201665285489062E-2</v>
      </c>
      <c r="AB179" s="72">
        <f t="shared" si="224"/>
        <v>4.3234864695757436E-2</v>
      </c>
      <c r="AC179" s="72">
        <f t="shared" si="224"/>
        <v>4.3013885351121169E-2</v>
      </c>
      <c r="AD179" s="43">
        <v>90951.038349780865</v>
      </c>
      <c r="AE179" s="43">
        <v>91462.180846302086</v>
      </c>
      <c r="AF179" s="43">
        <v>92270.308326203536</v>
      </c>
      <c r="AG179" s="43">
        <v>94529.309896473205</v>
      </c>
      <c r="AH179" s="43">
        <v>94046.15758185774</v>
      </c>
      <c r="AI179" s="7">
        <f t="shared" ref="AI179:AI185" si="225">_xlfn.STDEV.P(Y179:AC179)</f>
        <v>6.4431059928043185E-4</v>
      </c>
      <c r="AK179" s="72">
        <f t="shared" ref="AK179:AK190" si="226">$B$153*AP179*$L$26</f>
        <v>1.8928418227616268E-3</v>
      </c>
      <c r="AL179" s="72">
        <f t="shared" ref="AL179:AL190" si="227">$B$153*AQ179*$L$26</f>
        <v>1.1512283996108401E-3</v>
      </c>
      <c r="AM179" s="72">
        <f t="shared" ref="AM179:AM190" si="228">$B$153*AR179*$L$26</f>
        <v>2.0396959659598128E-3</v>
      </c>
      <c r="AN179" s="72">
        <f t="shared" ref="AN179:AN190" si="229">$B$153*AS179*$L$26</f>
        <v>2.4773647178558352E-3</v>
      </c>
      <c r="AO179" s="72">
        <f t="shared" ref="AO179:AO190" si="230">$B$153*AT179*$L$26</f>
        <v>1.3005382568508613E-3</v>
      </c>
      <c r="AP179" s="43">
        <v>4138.535705106463</v>
      </c>
      <c r="AQ179" s="43">
        <v>2517.0617952486105</v>
      </c>
      <c r="AR179" s="43">
        <v>4459.6196476525947</v>
      </c>
      <c r="AS179" s="43">
        <v>5416.5446980978568</v>
      </c>
      <c r="AT179" s="43">
        <v>2843.5149451534639</v>
      </c>
      <c r="AU179" s="7">
        <f t="shared" ref="AU179:AU190" si="231">_xlfn.STDEV.P(AK179:AO179)</f>
        <v>4.8814675240080102E-4</v>
      </c>
    </row>
    <row r="180" spans="13:47" x14ac:dyDescent="0.3">
      <c r="M180" s="72">
        <f t="shared" si="218"/>
        <v>1.73511348134446</v>
      </c>
      <c r="N180" s="72">
        <f t="shared" si="219"/>
        <v>1.7335115698908603</v>
      </c>
      <c r="O180" s="72">
        <f t="shared" si="220"/>
        <v>1.7297915142117088</v>
      </c>
      <c r="P180" s="72">
        <f t="shared" si="221"/>
        <v>1.7465759267950602</v>
      </c>
      <c r="Q180" s="72">
        <f t="shared" si="222"/>
        <v>1.7419116766229987</v>
      </c>
      <c r="R180" s="43">
        <v>3793676.2642315803</v>
      </c>
      <c r="S180" s="43">
        <v>3790173.8227346633</v>
      </c>
      <c r="T180" s="43">
        <v>3782040.2412235094</v>
      </c>
      <c r="U180" s="43">
        <v>3818737.9144945345</v>
      </c>
      <c r="V180" s="43">
        <v>3808539.9330031583</v>
      </c>
      <c r="W180" s="7">
        <f t="shared" si="223"/>
        <v>6.0462903344771527E-3</v>
      </c>
      <c r="Y180" s="72">
        <f t="shared" si="224"/>
        <v>1.316876014184206</v>
      </c>
      <c r="Z180" s="72">
        <f t="shared" si="224"/>
        <v>1.3059994733878175</v>
      </c>
      <c r="AA180" s="72">
        <f t="shared" si="224"/>
        <v>1.3199245874786938</v>
      </c>
      <c r="AB180" s="72">
        <f t="shared" si="224"/>
        <v>1.3111253216080092</v>
      </c>
      <c r="AC180" s="72">
        <f t="shared" si="224"/>
        <v>1.2996756669125249</v>
      </c>
      <c r="AD180" s="43">
        <v>2879236.0451695039</v>
      </c>
      <c r="AE180" s="43">
        <v>2855455.4249969064</v>
      </c>
      <c r="AF180" s="43">
        <v>2885901.4882494039</v>
      </c>
      <c r="AG180" s="43">
        <v>2866662.650885053</v>
      </c>
      <c r="AH180" s="43">
        <v>2841628.966507101</v>
      </c>
      <c r="AI180" s="7">
        <f t="shared" si="225"/>
        <v>7.3081583386264189E-3</v>
      </c>
      <c r="AK180" s="72">
        <f t="shared" si="226"/>
        <v>8.5707628434814456E-2</v>
      </c>
      <c r="AL180" s="72">
        <f t="shared" si="227"/>
        <v>7.6660247265095294E-2</v>
      </c>
      <c r="AM180" s="72">
        <f t="shared" si="228"/>
        <v>6.0772708689862981E-2</v>
      </c>
      <c r="AN180" s="72">
        <f t="shared" si="229"/>
        <v>6.9625972627914312E-2</v>
      </c>
      <c r="AO180" s="72">
        <f t="shared" si="230"/>
        <v>4.7305486619603959E-2</v>
      </c>
      <c r="AP180" s="43">
        <v>187392.35165459829</v>
      </c>
      <c r="AQ180" s="43">
        <v>167611.0315472678</v>
      </c>
      <c r="AR180" s="43">
        <v>132874.29608993029</v>
      </c>
      <c r="AS180" s="43">
        <v>152231.19558029572</v>
      </c>
      <c r="AT180" s="43">
        <v>103429.37432406987</v>
      </c>
      <c r="AU180" s="7">
        <f t="shared" si="231"/>
        <v>1.3203782489427825E-2</v>
      </c>
    </row>
    <row r="181" spans="13:47" x14ac:dyDescent="0.3">
      <c r="M181" s="72">
        <f t="shared" si="218"/>
        <v>3.4852730103631364</v>
      </c>
      <c r="N181" s="72">
        <f t="shared" si="219"/>
        <v>3.4842155428520041</v>
      </c>
      <c r="O181" s="72">
        <f t="shared" si="220"/>
        <v>3.4783139018826876</v>
      </c>
      <c r="P181" s="72">
        <f t="shared" si="221"/>
        <v>3.4934554354734306</v>
      </c>
      <c r="Q181" s="72">
        <f t="shared" si="222"/>
        <v>3.4782510766236485</v>
      </c>
      <c r="R181" s="43">
        <v>7620249.4165029824</v>
      </c>
      <c r="S181" s="43">
        <v>7617937.3548192289</v>
      </c>
      <c r="T181" s="43">
        <v>7605033.9248672221</v>
      </c>
      <c r="U181" s="43">
        <v>7638139.5846438706</v>
      </c>
      <c r="V181" s="43">
        <v>7604896.5628464818</v>
      </c>
      <c r="W181" s="7">
        <f t="shared" si="223"/>
        <v>5.592957772800387E-3</v>
      </c>
      <c r="Y181" s="72">
        <f t="shared" si="224"/>
        <v>2.6322355888946283</v>
      </c>
      <c r="Z181" s="72">
        <f t="shared" si="224"/>
        <v>2.6162606656208651</v>
      </c>
      <c r="AA181" s="72">
        <f t="shared" si="224"/>
        <v>2.6478746798923898</v>
      </c>
      <c r="AB181" s="72">
        <f t="shared" si="224"/>
        <v>2.6290206707611259</v>
      </c>
      <c r="AC181" s="72">
        <f t="shared" si="224"/>
        <v>2.6073741562925457</v>
      </c>
      <c r="AD181" s="43">
        <v>5755156.5259683244</v>
      </c>
      <c r="AE181" s="43">
        <v>5720228.7313899342</v>
      </c>
      <c r="AF181" s="43">
        <v>5789350.0521844858</v>
      </c>
      <c r="AG181" s="43">
        <v>5748127.3842172828</v>
      </c>
      <c r="AH181" s="43">
        <v>5700799.1437155902</v>
      </c>
      <c r="AI181" s="7">
        <f t="shared" si="225"/>
        <v>1.3905074194517086E-2</v>
      </c>
      <c r="AK181" s="72">
        <f t="shared" si="226"/>
        <v>0.15503168056622163</v>
      </c>
      <c r="AL181" s="72">
        <f t="shared" si="227"/>
        <v>0.1153224772860755</v>
      </c>
      <c r="AM181" s="72">
        <f t="shared" si="228"/>
        <v>0.14730288135195863</v>
      </c>
      <c r="AN181" s="72">
        <f t="shared" si="229"/>
        <v>0.13026178567946933</v>
      </c>
      <c r="AO181" s="72">
        <f t="shared" si="230"/>
        <v>0.14659336816298982</v>
      </c>
      <c r="AP181" s="43">
        <v>338963.42405932129</v>
      </c>
      <c r="AQ181" s="43">
        <v>252142.66935069545</v>
      </c>
      <c r="AR181" s="43">
        <v>322065.06989089993</v>
      </c>
      <c r="AS181" s="43">
        <v>284806.18114137038</v>
      </c>
      <c r="AT181" s="43">
        <v>320513.78037981584</v>
      </c>
      <c r="AU181" s="7">
        <f t="shared" si="231"/>
        <v>1.428667729625043E-2</v>
      </c>
    </row>
    <row r="182" spans="13:47" x14ac:dyDescent="0.3">
      <c r="M182" s="72">
        <f t="shared" si="218"/>
        <v>5.2467754730096505</v>
      </c>
      <c r="N182" s="72">
        <f t="shared" si="219"/>
        <v>5.2457180054985164</v>
      </c>
      <c r="O182" s="72">
        <f t="shared" si="220"/>
        <v>5.235034078647808</v>
      </c>
      <c r="P182" s="72">
        <f t="shared" si="221"/>
        <v>5.2700370320446801</v>
      </c>
      <c r="Q182" s="72">
        <f t="shared" si="222"/>
        <v>5.2522681345817404</v>
      </c>
      <c r="R182" s="43">
        <v>11471622.91672473</v>
      </c>
      <c r="S182" s="43">
        <v>11469310.855040975</v>
      </c>
      <c r="T182" s="43">
        <v>11445951.368679937</v>
      </c>
      <c r="U182" s="43">
        <v>11522482.313144056</v>
      </c>
      <c r="V182" s="43">
        <v>11483632.148430629</v>
      </c>
      <c r="W182" s="7">
        <f t="shared" si="223"/>
        <v>1.1483321335885822E-2</v>
      </c>
      <c r="Y182" s="72">
        <f t="shared" si="224"/>
        <v>3.9694963728721451</v>
      </c>
      <c r="Z182" s="72">
        <f t="shared" si="224"/>
        <v>3.966891984676761</v>
      </c>
      <c r="AA182" s="72">
        <f t="shared" si="224"/>
        <v>3.9973009113822133</v>
      </c>
      <c r="AB182" s="72">
        <f t="shared" si="224"/>
        <v>3.972390352004934</v>
      </c>
      <c r="AC182" s="72">
        <f t="shared" si="224"/>
        <v>3.951959313742218</v>
      </c>
      <c r="AD182" s="43">
        <v>8678962.115521051</v>
      </c>
      <c r="AE182" s="43">
        <v>8673267.8449238222</v>
      </c>
      <c r="AF182" s="43">
        <v>8739754.345491983</v>
      </c>
      <c r="AG182" s="43">
        <v>8685289.5517742317</v>
      </c>
      <c r="AH182" s="43">
        <v>8640618.845365556</v>
      </c>
      <c r="AI182" s="7">
        <f t="shared" si="225"/>
        <v>1.4652702215221461E-2</v>
      </c>
      <c r="AK182" s="72">
        <f t="shared" si="226"/>
        <v>0.21556580686102403</v>
      </c>
      <c r="AL182" s="72">
        <f t="shared" si="227"/>
        <v>0.18884574311182498</v>
      </c>
      <c r="AM182" s="72">
        <f t="shared" si="228"/>
        <v>0.2208261471777081</v>
      </c>
      <c r="AN182" s="72">
        <f t="shared" si="229"/>
        <v>0.21664684653096219</v>
      </c>
      <c r="AO182" s="72">
        <f t="shared" si="230"/>
        <v>0.20276915507798637</v>
      </c>
      <c r="AP182" s="43">
        <v>471316.08028019615</v>
      </c>
      <c r="AQ182" s="43">
        <v>412894.96101971623</v>
      </c>
      <c r="AR182" s="43">
        <v>482817.36155992071</v>
      </c>
      <c r="AS182" s="43">
        <v>473679.68046002951</v>
      </c>
      <c r="AT182" s="43">
        <v>443337.30272304738</v>
      </c>
      <c r="AU182" s="7">
        <f t="shared" si="231"/>
        <v>1.1716956541014152E-2</v>
      </c>
    </row>
    <row r="183" spans="13:47" x14ac:dyDescent="0.3">
      <c r="M183" s="72">
        <f t="shared" si="218"/>
        <v>7.0205391983760492</v>
      </c>
      <c r="N183" s="72">
        <f t="shared" si="219"/>
        <v>7.0463163964642179</v>
      </c>
      <c r="O183" s="72">
        <f t="shared" si="220"/>
        <v>7.0475251238286916</v>
      </c>
      <c r="P183" s="72">
        <f t="shared" si="221"/>
        <v>7.0895105454514731</v>
      </c>
      <c r="Q183" s="72">
        <f t="shared" si="222"/>
        <v>7.0876051000243327</v>
      </c>
      <c r="R183" s="43">
        <v>15349804.612404618</v>
      </c>
      <c r="S183" s="43">
        <v>15406164.237061393</v>
      </c>
      <c r="T183" s="43">
        <v>15408807.015393665</v>
      </c>
      <c r="U183" s="43">
        <v>15500604.525566133</v>
      </c>
      <c r="V183" s="43">
        <v>15496438.433165001</v>
      </c>
      <c r="W183" s="7">
        <f t="shared" si="223"/>
        <v>2.6527230845544085E-2</v>
      </c>
      <c r="Y183" s="72">
        <f t="shared" si="224"/>
        <v>5.3605670945913486</v>
      </c>
      <c r="Z183" s="72">
        <f t="shared" si="224"/>
        <v>5.3465213503080209</v>
      </c>
      <c r="AA183" s="72">
        <f t="shared" si="224"/>
        <v>5.3746189501664876</v>
      </c>
      <c r="AB183" s="72">
        <f t="shared" si="224"/>
        <v>5.3735968691297691</v>
      </c>
      <c r="AC183" s="72">
        <f t="shared" si="224"/>
        <v>5.3531658308670531</v>
      </c>
      <c r="AD183" s="43">
        <v>11720418.501857534</v>
      </c>
      <c r="AE183" s="43">
        <v>11689708.691073379</v>
      </c>
      <c r="AF183" s="43">
        <v>11751141.674455162</v>
      </c>
      <c r="AG183" s="43">
        <v>11748906.982251562</v>
      </c>
      <c r="AH183" s="43">
        <v>11704236.275842886</v>
      </c>
      <c r="AI183" s="7">
        <f t="shared" si="225"/>
        <v>1.1071960201883856E-2</v>
      </c>
      <c r="AK183" s="72">
        <f t="shared" si="226"/>
        <v>0.2932340938752806</v>
      </c>
      <c r="AL183" s="72">
        <f t="shared" si="227"/>
        <v>0.26222134714846851</v>
      </c>
      <c r="AM183" s="72">
        <f t="shared" si="228"/>
        <v>0.30703771501995941</v>
      </c>
      <c r="AN183" s="72">
        <f t="shared" si="229"/>
        <v>0.26396735985771735</v>
      </c>
      <c r="AO183" s="72">
        <f t="shared" si="230"/>
        <v>0.28043744209224297</v>
      </c>
      <c r="AP183" s="43">
        <v>641131.1039645269</v>
      </c>
      <c r="AQ183" s="43">
        <v>573324.40289793769</v>
      </c>
      <c r="AR183" s="43">
        <v>671311.53334856743</v>
      </c>
      <c r="AS183" s="43">
        <v>577141.90938575054</v>
      </c>
      <c r="AT183" s="43">
        <v>613152.32640737819</v>
      </c>
      <c r="AU183" s="7">
        <f t="shared" si="231"/>
        <v>1.7146313376554517E-2</v>
      </c>
    </row>
    <row r="184" spans="13:47" x14ac:dyDescent="0.3">
      <c r="M184" s="72">
        <f t="shared" si="218"/>
        <v>8.7881916479816375</v>
      </c>
      <c r="N184" s="72">
        <f t="shared" si="219"/>
        <v>8.8318092663884773</v>
      </c>
      <c r="O184" s="72">
        <f t="shared" si="220"/>
        <v>8.835012624265195</v>
      </c>
      <c r="P184" s="72">
        <f t="shared" si="221"/>
        <v>8.8704827749382833</v>
      </c>
      <c r="Q184" s="72">
        <f t="shared" si="222"/>
        <v>8.8829830593525365</v>
      </c>
      <c r="R184" s="43">
        <v>19214624.529706765</v>
      </c>
      <c r="S184" s="43">
        <v>19309990.697644159</v>
      </c>
      <c r="T184" s="43">
        <v>19316994.563888878</v>
      </c>
      <c r="U184" s="43">
        <v>19394546.994979981</v>
      </c>
      <c r="V184" s="43">
        <v>19421877.790797297</v>
      </c>
      <c r="W184" s="7">
        <f t="shared" si="223"/>
        <v>3.3281918150464954E-2</v>
      </c>
      <c r="Y184" s="72">
        <f t="shared" si="224"/>
        <v>6.8524626963250217</v>
      </c>
      <c r="Z184" s="72">
        <f t="shared" si="224"/>
        <v>6.8286321239172736</v>
      </c>
      <c r="AA184" s="72">
        <f t="shared" si="224"/>
        <v>6.860661803083854</v>
      </c>
      <c r="AB184" s="72">
        <f t="shared" si="224"/>
        <v>6.8770373747785341</v>
      </c>
      <c r="AC184" s="72">
        <f t="shared" si="224"/>
        <v>6.8401879081681001</v>
      </c>
      <c r="AD184" s="43">
        <v>14982319.809098275</v>
      </c>
      <c r="AE184" s="43">
        <v>14930216.313921537</v>
      </c>
      <c r="AF184" s="43">
        <v>15000246.450227696</v>
      </c>
      <c r="AG184" s="43">
        <v>15036050.228089647</v>
      </c>
      <c r="AH184" s="43">
        <v>14955482.041436357</v>
      </c>
      <c r="AI184" s="7">
        <f t="shared" si="225"/>
        <v>1.6658252606133923E-2</v>
      </c>
      <c r="AK184" s="72">
        <f t="shared" si="226"/>
        <v>0.37077260931557843</v>
      </c>
      <c r="AL184" s="72">
        <f t="shared" si="227"/>
        <v>0.32253295869331516</v>
      </c>
      <c r="AM184" s="72">
        <f t="shared" si="228"/>
        <v>0.3845762304602573</v>
      </c>
      <c r="AN184" s="72">
        <f t="shared" si="229"/>
        <v>0.32427897140256401</v>
      </c>
      <c r="AO184" s="72">
        <f t="shared" si="230"/>
        <v>0.37497840665411114</v>
      </c>
      <c r="AP184" s="43">
        <v>810662.39327344508</v>
      </c>
      <c r="AQ184" s="43">
        <v>705190.54977263743</v>
      </c>
      <c r="AR184" s="43">
        <v>840842.82265748561</v>
      </c>
      <c r="AS184" s="43">
        <v>709008.05626045028</v>
      </c>
      <c r="AT184" s="43">
        <v>819858.00710902933</v>
      </c>
      <c r="AU184" s="7">
        <f t="shared" si="231"/>
        <v>2.6531643369191758E-2</v>
      </c>
    </row>
    <row r="185" spans="13:47" x14ac:dyDescent="0.3">
      <c r="M185" s="72">
        <f t="shared" si="218"/>
        <v>10.588895524138342</v>
      </c>
      <c r="N185" s="72">
        <f t="shared" si="219"/>
        <v>10.658574253887261</v>
      </c>
      <c r="O185" s="72">
        <f t="shared" si="220"/>
        <v>10.663130090515212</v>
      </c>
      <c r="P185" s="72">
        <f t="shared" si="221"/>
        <v>10.679735873427372</v>
      </c>
      <c r="Q185" s="72">
        <f t="shared" si="222"/>
        <v>10.684645154357181</v>
      </c>
      <c r="R185" s="43">
        <v>23151708.546016891</v>
      </c>
      <c r="S185" s="43">
        <v>23304055.090500806</v>
      </c>
      <c r="T185" s="43">
        <v>23314016.035110477</v>
      </c>
      <c r="U185" s="43">
        <v>23350323.149982315</v>
      </c>
      <c r="V185" s="43">
        <v>23361056.87013267</v>
      </c>
      <c r="W185" s="7">
        <f t="shared" si="223"/>
        <v>3.4465559417095191E-2</v>
      </c>
      <c r="Y185" s="72">
        <f t="shared" si="224"/>
        <v>8.4662105963782306</v>
      </c>
      <c r="Z185" s="72">
        <f t="shared" si="224"/>
        <v>8.615691588725495</v>
      </c>
      <c r="AA185" s="72">
        <f t="shared" si="224"/>
        <v>8.5191539758395791</v>
      </c>
      <c r="AB185" s="72">
        <f t="shared" si="224"/>
        <v>8.4059555764612188</v>
      </c>
      <c r="AC185" s="72">
        <f t="shared" si="224"/>
        <v>8.4539358082213081</v>
      </c>
      <c r="AD185" s="43">
        <v>18510640.677276723</v>
      </c>
      <c r="AE185" s="43">
        <v>18837467.999361843</v>
      </c>
      <c r="AF185" s="43">
        <v>18626396.818975937</v>
      </c>
      <c r="AG185" s="43">
        <v>18378898.263124742</v>
      </c>
      <c r="AH185" s="43">
        <v>18483802.909614805</v>
      </c>
      <c r="AI185" s="7">
        <f t="shared" si="225"/>
        <v>7.1490400493833539E-2</v>
      </c>
      <c r="AK185" s="72">
        <f t="shared" si="226"/>
        <v>0.52306559454076806</v>
      </c>
      <c r="AL185" s="72">
        <f t="shared" si="227"/>
        <v>0.33876024080802664</v>
      </c>
      <c r="AM185" s="72">
        <f t="shared" si="228"/>
        <v>0.45780476463746533</v>
      </c>
      <c r="AN185" s="72">
        <f t="shared" si="229"/>
        <v>0.40606164034730408</v>
      </c>
      <c r="AO185" s="72">
        <f t="shared" si="230"/>
        <v>0.47790339732541887</v>
      </c>
      <c r="AP185" s="43">
        <v>1143637.8957230605</v>
      </c>
      <c r="AQ185" s="43">
        <v>740670.10523310781</v>
      </c>
      <c r="AR185" s="43">
        <v>1000950.7089481775</v>
      </c>
      <c r="AS185" s="43">
        <v>887818.82185992319</v>
      </c>
      <c r="AT185" s="43">
        <v>1044894.6391819033</v>
      </c>
      <c r="AU185" s="7">
        <f t="shared" si="231"/>
        <v>6.3328169946943624E-2</v>
      </c>
    </row>
    <row r="186" spans="13:47" x14ac:dyDescent="0.3">
      <c r="M186" s="72">
        <f t="shared" si="218"/>
        <v>12.538454101026803</v>
      </c>
      <c r="N186" s="72">
        <f t="shared" si="219"/>
        <v>12.62745759097634</v>
      </c>
      <c r="O186" s="72">
        <f t="shared" si="220"/>
        <v>12.641137265350091</v>
      </c>
      <c r="P186" s="72">
        <f t="shared" si="221"/>
        <v>12.648619210516451</v>
      </c>
      <c r="Q186" s="72">
        <f t="shared" si="222"/>
        <v>12.643702734662055</v>
      </c>
      <c r="R186" s="43">
        <v>27414250.551707514</v>
      </c>
      <c r="S186" s="43">
        <v>27608849.020848393</v>
      </c>
      <c r="T186" s="43">
        <v>27638758.451287434</v>
      </c>
      <c r="U186" s="43">
        <v>27655117.080329902</v>
      </c>
      <c r="V186" s="43">
        <v>27644367.629096296</v>
      </c>
      <c r="W186" s="7">
        <f t="shared" si="223"/>
        <v>4.1310853240564313E-2</v>
      </c>
      <c r="AK186" s="72">
        <f t="shared" si="226"/>
        <v>0.74556352533697989</v>
      </c>
      <c r="AL186" s="72">
        <f t="shared" si="227"/>
        <v>0.47657492851491196</v>
      </c>
      <c r="AM186" s="72">
        <f t="shared" si="228"/>
        <v>0.61277822094408796</v>
      </c>
      <c r="AN186" s="72">
        <f t="shared" si="229"/>
        <v>0.55246980001300605</v>
      </c>
      <c r="AO186" s="72">
        <f t="shared" si="230"/>
        <v>0.64141411329541576</v>
      </c>
      <c r="AP186" s="43">
        <v>1630110.4682536977</v>
      </c>
      <c r="AQ186" s="43">
        <v>1041990.0564855101</v>
      </c>
      <c r="AR186" s="43">
        <v>1339786.8306759694</v>
      </c>
      <c r="AS186" s="43">
        <v>1207927.6598036108</v>
      </c>
      <c r="AT186" s="43">
        <v>1402396.7442558848</v>
      </c>
      <c r="AU186" s="7">
        <f t="shared" si="231"/>
        <v>8.9882284156491951E-2</v>
      </c>
    </row>
    <row r="187" spans="13:47" x14ac:dyDescent="0.3">
      <c r="M187" s="72">
        <f t="shared" si="218"/>
        <v>14.502708468720623</v>
      </c>
      <c r="N187" s="72">
        <f t="shared" si="219"/>
        <v>14.594289192806864</v>
      </c>
      <c r="O187" s="72">
        <f t="shared" si="220"/>
        <v>14.61409751327656</v>
      </c>
      <c r="P187" s="72">
        <f t="shared" si="221"/>
        <v>14.62461412675172</v>
      </c>
      <c r="Q187" s="72">
        <f t="shared" si="222"/>
        <v>14.612586071751135</v>
      </c>
      <c r="R187" s="43">
        <v>31708923.638945151</v>
      </c>
      <c r="S187" s="43">
        <v>31909157.008671436</v>
      </c>
      <c r="T187" s="43">
        <v>31952466.196230717</v>
      </c>
      <c r="U187" s="43">
        <v>31975459.866298854</v>
      </c>
      <c r="V187" s="43">
        <v>31949161.559443884</v>
      </c>
      <c r="W187" s="7">
        <f t="shared" si="223"/>
        <v>4.455689848193161E-2</v>
      </c>
      <c r="AD187" s="12" t="s">
        <v>57</v>
      </c>
      <c r="AE187" s="6"/>
      <c r="AF187" s="6"/>
      <c r="AG187" s="6"/>
      <c r="AH187" s="6"/>
      <c r="AK187" s="72">
        <f t="shared" si="226"/>
        <v>0.98616675486266347</v>
      </c>
      <c r="AL187" s="72">
        <f t="shared" si="227"/>
        <v>0.97032776228010742</v>
      </c>
      <c r="AM187" s="72">
        <f t="shared" si="228"/>
        <v>0.69538556681877661</v>
      </c>
      <c r="AN187" s="72">
        <f t="shared" si="229"/>
        <v>0.89582198655355172</v>
      </c>
      <c r="AO187" s="72">
        <f t="shared" si="230"/>
        <v>0.9847662998359612</v>
      </c>
      <c r="AP187" s="43">
        <v>2156168.7179088066</v>
      </c>
      <c r="AQ187" s="43">
        <v>2121538.1240855004</v>
      </c>
      <c r="AR187" s="43">
        <v>1520400.6813926077</v>
      </c>
      <c r="AS187" s="43">
        <v>1958637.6590951742</v>
      </c>
      <c r="AT187" s="43">
        <v>2153106.743547448</v>
      </c>
      <c r="AU187" s="7">
        <f t="shared" si="231"/>
        <v>0.11066138660485958</v>
      </c>
    </row>
    <row r="188" spans="13:47" x14ac:dyDescent="0.3">
      <c r="M188" s="72">
        <f t="shared" si="218"/>
        <v>16.415758827659257</v>
      </c>
      <c r="N188" s="72">
        <f t="shared" si="219"/>
        <v>16.555432299803925</v>
      </c>
      <c r="O188" s="72">
        <f t="shared" si="220"/>
        <v>16.615117724058337</v>
      </c>
      <c r="P188" s="72">
        <f t="shared" si="221"/>
        <v>16.600104625285308</v>
      </c>
      <c r="Q188" s="72">
        <f t="shared" si="222"/>
        <v>16.597568647801921</v>
      </c>
      <c r="R188" s="43">
        <v>35891643.5688034</v>
      </c>
      <c r="S188" s="43">
        <v>36197027.592220396</v>
      </c>
      <c r="T188" s="43">
        <v>36327524.634488255</v>
      </c>
      <c r="U188" s="43">
        <v>36294699.786384568</v>
      </c>
      <c r="V188" s="43">
        <v>36289155.089920163</v>
      </c>
      <c r="W188" s="7">
        <f t="shared" si="223"/>
        <v>7.3256826288358834E-2</v>
      </c>
      <c r="Y188" s="5" t="s">
        <v>188</v>
      </c>
      <c r="Z188" s="42"/>
      <c r="AA188" s="42"/>
      <c r="AB188" s="42"/>
      <c r="AC188" s="40"/>
      <c r="AD188" s="41" t="s">
        <v>52</v>
      </c>
      <c r="AE188" s="42"/>
      <c r="AF188" s="42"/>
      <c r="AG188" s="40"/>
      <c r="AH188" s="6"/>
      <c r="AI188" s="59" t="s">
        <v>162</v>
      </c>
      <c r="AK188" s="72">
        <f t="shared" si="226"/>
        <v>1.3460883532866201</v>
      </c>
      <c r="AL188" s="72">
        <f t="shared" si="227"/>
        <v>1.2963692731655139</v>
      </c>
      <c r="AM188" s="72">
        <f t="shared" si="228"/>
        <v>1.0721644400685071</v>
      </c>
      <c r="AN188" s="72">
        <f t="shared" si="229"/>
        <v>1.1361848932263734</v>
      </c>
      <c r="AO188" s="72">
        <f t="shared" si="230"/>
        <v>1.2595697507021295</v>
      </c>
      <c r="AP188" s="43">
        <v>2943106.3099487512</v>
      </c>
      <c r="AQ188" s="43">
        <v>2834399.8212015615</v>
      </c>
      <c r="AR188" s="43">
        <v>2344195.2537244777</v>
      </c>
      <c r="AS188" s="43">
        <v>2484170.4635200677</v>
      </c>
      <c r="AT188" s="43">
        <v>2753940.8331264853</v>
      </c>
      <c r="AU188" s="7">
        <f t="shared" si="231"/>
        <v>0.10213235879854383</v>
      </c>
    </row>
    <row r="189" spans="13:47" x14ac:dyDescent="0.3">
      <c r="M189" s="72">
        <f t="shared" si="218"/>
        <v>18.38156121663997</v>
      </c>
      <c r="N189" s="72">
        <f t="shared" si="219"/>
        <v>18.529406283911136</v>
      </c>
      <c r="O189" s="72">
        <f t="shared" si="220"/>
        <v>18.598614340352956</v>
      </c>
      <c r="P189" s="72">
        <f t="shared" si="221"/>
        <v>18.575595123818896</v>
      </c>
      <c r="Q189" s="72">
        <f t="shared" si="222"/>
        <v>18.57356356403719</v>
      </c>
      <c r="R189" s="43">
        <v>40189701.271327443</v>
      </c>
      <c r="S189" s="43">
        <v>40512951.784058027</v>
      </c>
      <c r="T189" s="43">
        <v>40664269.241872653</v>
      </c>
      <c r="U189" s="43">
        <v>40613939.706470281</v>
      </c>
      <c r="V189" s="43">
        <v>40609497.875889115</v>
      </c>
      <c r="W189" s="7">
        <f t="shared" si="223"/>
        <v>7.8362966591819364E-2</v>
      </c>
      <c r="Y189" s="72">
        <f t="shared" ref="Y189:Y200" si="232">$B$153*AD189*$L$26</f>
        <v>1.0476034776938358E-2</v>
      </c>
      <c r="Z189" s="72">
        <f t="shared" ref="Z189:Z200" si="233">$B$153*AE189*$L$26</f>
        <v>9.4869099622736878E-3</v>
      </c>
      <c r="AA189" s="72">
        <f t="shared" ref="AA189:AA200" si="234">$B$153*AF189*$L$26</f>
        <v>9.3615807937994771E-3</v>
      </c>
      <c r="AB189" s="72">
        <f t="shared" ref="AB189:AB200" si="235">$B$153*AG189*$L$26</f>
        <v>1.0476034776938358E-2</v>
      </c>
      <c r="AC189" s="72">
        <f t="shared" ref="AC189:AC200" si="236">$B$153*AH189*$L$26</f>
        <v>1.0719625216370708E-2</v>
      </c>
      <c r="AD189" s="43">
        <v>22904.948237587803</v>
      </c>
      <c r="AE189" s="43">
        <v>20742.311976558791</v>
      </c>
      <c r="AF189" s="43">
        <v>20468.290538325207</v>
      </c>
      <c r="AG189" s="43">
        <v>22904.948237587803</v>
      </c>
      <c r="AH189" s="43">
        <v>23437.537764557648</v>
      </c>
      <c r="AI189" s="7">
        <f t="shared" ref="AI189:AI200" si="237">_xlfn.STDEV.P(Y189:AC189)</f>
        <v>5.635247187208563E-4</v>
      </c>
      <c r="AK189" s="72">
        <f t="shared" si="226"/>
        <v>1.7076954852037787</v>
      </c>
      <c r="AL189" s="72">
        <f t="shared" si="227"/>
        <v>1.3433897061303144</v>
      </c>
      <c r="AM189" s="72">
        <f t="shared" si="228"/>
        <v>1.4167800064558318</v>
      </c>
      <c r="AN189" s="72">
        <f t="shared" si="229"/>
        <v>1.7461719161688123</v>
      </c>
      <c r="AO189" s="72">
        <f t="shared" si="230"/>
        <v>1.8371271946885526</v>
      </c>
      <c r="AP189" s="43">
        <v>3733729.1758768186</v>
      </c>
      <c r="AQ189" s="43">
        <v>2937205.9502475057</v>
      </c>
      <c r="AR189" s="43">
        <v>3097667.5242962581</v>
      </c>
      <c r="AS189" s="43">
        <v>3817854.5800384469</v>
      </c>
      <c r="AT189" s="43">
        <v>4016720.4668734358</v>
      </c>
      <c r="AU189" s="7">
        <f t="shared" si="231"/>
        <v>0.19395293487284293</v>
      </c>
    </row>
    <row r="190" spans="13:47" x14ac:dyDescent="0.3">
      <c r="M190" s="72">
        <f t="shared" si="218"/>
        <v>20.358563342872468</v>
      </c>
      <c r="N190" s="72">
        <f t="shared" si="219"/>
        <v>20.515870079814558</v>
      </c>
      <c r="O190" s="72">
        <f t="shared" si="220"/>
        <v>20.580620234199884</v>
      </c>
      <c r="P190" s="72">
        <f t="shared" si="221"/>
        <v>20.574700940866279</v>
      </c>
      <c r="Q190" s="72">
        <f t="shared" si="222"/>
        <v>20.573627580777192</v>
      </c>
      <c r="R190" s="43">
        <v>44512246.235252284</v>
      </c>
      <c r="S190" s="43">
        <v>44856183.874235138</v>
      </c>
      <c r="T190" s="43">
        <v>44997754.512950137</v>
      </c>
      <c r="U190" s="43">
        <v>44984812.48762317</v>
      </c>
      <c r="V190" s="43">
        <v>44982465.678185791</v>
      </c>
      <c r="W190" s="7">
        <f t="shared" si="223"/>
        <v>8.4403182197174575E-2</v>
      </c>
      <c r="Y190" s="72">
        <f t="shared" si="232"/>
        <v>0.32283760973179532</v>
      </c>
      <c r="Z190" s="72">
        <f t="shared" si="233"/>
        <v>0.32880460628464314</v>
      </c>
      <c r="AA190" s="72">
        <f t="shared" si="234"/>
        <v>0.32520639211795377</v>
      </c>
      <c r="AB190" s="72">
        <f t="shared" si="235"/>
        <v>0.33670863100686482</v>
      </c>
      <c r="AC190" s="72">
        <f t="shared" si="236"/>
        <v>0.34039432768726291</v>
      </c>
      <c r="AD190" s="43">
        <v>705856.64304318256</v>
      </c>
      <c r="AE190" s="43">
        <v>718902.96735261637</v>
      </c>
      <c r="AF190" s="43">
        <v>711035.78182005149</v>
      </c>
      <c r="AG190" s="43">
        <v>736184.43701035751</v>
      </c>
      <c r="AH190" s="43">
        <v>744242.89552844188</v>
      </c>
      <c r="AI190" s="7">
        <f t="shared" si="237"/>
        <v>6.7176227788112693E-3</v>
      </c>
      <c r="AK190" s="72">
        <f t="shared" si="226"/>
        <v>2.1547815806704835</v>
      </c>
      <c r="AL190" s="72">
        <f t="shared" si="227"/>
        <v>1.7230761163989121</v>
      </c>
      <c r="AM190" s="72">
        <f t="shared" si="228"/>
        <v>1.8470981089275453</v>
      </c>
      <c r="AN190" s="72">
        <f t="shared" si="229"/>
        <v>2.0747294326742005</v>
      </c>
      <c r="AO190" s="72">
        <f t="shared" si="230"/>
        <v>2.1998262454741075</v>
      </c>
      <c r="AP190" s="43">
        <v>4711244.4373718668</v>
      </c>
      <c r="AQ190" s="43">
        <v>3767357.6019833721</v>
      </c>
      <c r="AR190" s="43">
        <v>4038521.0125367926</v>
      </c>
      <c r="AS190" s="43">
        <v>4536217.3068588031</v>
      </c>
      <c r="AT190" s="43">
        <v>4809730.7194122579</v>
      </c>
      <c r="AU190" s="7">
        <f t="shared" si="231"/>
        <v>0.18414023573115854</v>
      </c>
    </row>
    <row r="191" spans="13:47" x14ac:dyDescent="0.3">
      <c r="M191" s="72">
        <f t="shared" si="218"/>
        <v>22.334053841406053</v>
      </c>
      <c r="N191" s="72">
        <f t="shared" si="219"/>
        <v>22.476492659862629</v>
      </c>
      <c r="O191" s="72">
        <f t="shared" si="220"/>
        <v>22.549503571288959</v>
      </c>
      <c r="P191" s="72">
        <f>$B$153*U191*$L$26</f>
        <v>22.546136477000644</v>
      </c>
      <c r="Q191" s="72">
        <f t="shared" si="222"/>
        <v>22.55613091270731</v>
      </c>
      <c r="R191" s="43">
        <v>48831486.155337997</v>
      </c>
      <c r="S191" s="43">
        <v>49142916.370418333</v>
      </c>
      <c r="T191" s="43">
        <v>49302548.443297721</v>
      </c>
      <c r="U191" s="43">
        <v>49295186.581483863</v>
      </c>
      <c r="V191" s="43">
        <v>49317038.5548115</v>
      </c>
      <c r="W191" s="7">
        <f t="shared" si="223"/>
        <v>8.4304905318905485E-2</v>
      </c>
      <c r="Y191" s="72">
        <f t="shared" si="232"/>
        <v>0.66261408615007167</v>
      </c>
      <c r="Z191" s="72">
        <f t="shared" si="233"/>
        <v>0.68616269185958856</v>
      </c>
      <c r="AA191" s="72">
        <f t="shared" si="234"/>
        <v>0.61434146016774627</v>
      </c>
      <c r="AB191" s="72">
        <f t="shared" si="235"/>
        <v>0.64780708147138866</v>
      </c>
      <c r="AC191" s="72">
        <f t="shared" si="236"/>
        <v>0.6801708041055391</v>
      </c>
      <c r="AD191" s="43">
        <v>1448748.6599581037</v>
      </c>
      <c r="AE191" s="43">
        <v>1500235.6592215297</v>
      </c>
      <c r="AF191" s="43">
        <v>1343204.7186711184</v>
      </c>
      <c r="AG191" s="43">
        <v>1416374.4188506231</v>
      </c>
      <c r="AH191" s="43">
        <v>1487134.9124433629</v>
      </c>
      <c r="AI191" s="7">
        <f t="shared" si="237"/>
        <v>2.5751485197646522E-2</v>
      </c>
    </row>
    <row r="192" spans="13:47" x14ac:dyDescent="0.3">
      <c r="M192" s="72">
        <f t="shared" si="218"/>
        <v>24.308027825513268</v>
      </c>
      <c r="N192" s="72">
        <f t="shared" si="219"/>
        <v>24.628564597141654</v>
      </c>
      <c r="O192" s="72">
        <f t="shared" si="220"/>
        <v>24.711100057556724</v>
      </c>
      <c r="P192" s="72">
        <f t="shared" si="221"/>
        <v>24.739420412922865</v>
      </c>
      <c r="Q192" s="72">
        <f t="shared" si="222"/>
        <v>24.753262632253399</v>
      </c>
      <c r="R192" s="43">
        <v>53147410.347175628</v>
      </c>
      <c r="S192" s="43">
        <v>53848236.405767374</v>
      </c>
      <c r="T192" s="43">
        <v>54028693.085114628</v>
      </c>
      <c r="U192" s="43">
        <v>54090613.104238607</v>
      </c>
      <c r="V192" s="43">
        <v>54120877.925233409</v>
      </c>
      <c r="W192" s="7">
        <f t="shared" si="223"/>
        <v>0.16576690745303768</v>
      </c>
      <c r="Y192" s="72">
        <f t="shared" si="232"/>
        <v>0.98638824716258378</v>
      </c>
      <c r="Z192" s="72">
        <f t="shared" si="233"/>
        <v>1.0099368528721009</v>
      </c>
      <c r="AA192" s="72">
        <f t="shared" si="234"/>
        <v>0.95581081166395532</v>
      </c>
      <c r="AB192" s="72">
        <f t="shared" si="235"/>
        <v>0.96801055874099096</v>
      </c>
      <c r="AC192" s="72">
        <f t="shared" si="236"/>
        <v>1.0075050376165544</v>
      </c>
      <c r="AD192" s="43">
        <v>2156652.991755994</v>
      </c>
      <c r="AE192" s="43">
        <v>2208139.9910194203</v>
      </c>
      <c r="AF192" s="43">
        <v>2089798.0612171944</v>
      </c>
      <c r="AG192" s="43">
        <v>2116471.7580176578</v>
      </c>
      <c r="AH192" s="43">
        <v>2202823.0362996552</v>
      </c>
      <c r="AI192" s="7">
        <f t="shared" si="237"/>
        <v>2.1304902301995002E-2</v>
      </c>
      <c r="AP192" s="12" t="s">
        <v>91</v>
      </c>
      <c r="AQ192" s="6"/>
      <c r="AR192" s="6"/>
      <c r="AS192" s="6"/>
      <c r="AT192" s="6"/>
    </row>
    <row r="193" spans="1:74" x14ac:dyDescent="0.3">
      <c r="M193" s="72">
        <f t="shared" si="218"/>
        <v>26.433955093883291</v>
      </c>
      <c r="N193" s="72">
        <f t="shared" si="219"/>
        <v>26.69764961701901</v>
      </c>
      <c r="O193" s="72">
        <f t="shared" si="220"/>
        <v>26.834170462262982</v>
      </c>
      <c r="P193" s="72">
        <f t="shared" si="221"/>
        <v>26.885120234728031</v>
      </c>
      <c r="Q193" s="72">
        <f t="shared" si="222"/>
        <v>26.853469466449035</v>
      </c>
      <c r="R193" s="43">
        <v>57795567.314550921</v>
      </c>
      <c r="S193" s="43">
        <v>58372112.689930461</v>
      </c>
      <c r="T193" s="43">
        <v>58670603.766014762</v>
      </c>
      <c r="U193" s="43">
        <v>58782001.057631038</v>
      </c>
      <c r="V193" s="43">
        <v>58712799.377363019</v>
      </c>
      <c r="W193" s="7">
        <f t="shared" si="223"/>
        <v>0.1662868048761463</v>
      </c>
      <c r="Y193" s="72">
        <f t="shared" si="232"/>
        <v>1.3160544875156837</v>
      </c>
      <c r="Z193" s="72">
        <f t="shared" si="233"/>
        <v>1.3880339249049809</v>
      </c>
      <c r="AA193" s="72">
        <f t="shared" si="234"/>
        <v>1.3099413781519218</v>
      </c>
      <c r="AB193" s="72">
        <f t="shared" si="235"/>
        <v>1.2834676680937969</v>
      </c>
      <c r="AC193" s="72">
        <f t="shared" si="236"/>
        <v>1.3300878570096861</v>
      </c>
      <c r="AD193" s="43">
        <v>2877439.8478277652</v>
      </c>
      <c r="AE193" s="43">
        <v>3034816.6915169358</v>
      </c>
      <c r="AF193" s="43">
        <v>2864074.0604350087</v>
      </c>
      <c r="AG193" s="43">
        <v>2806191.572313346</v>
      </c>
      <c r="AH193" s="43">
        <v>2908122.602200313</v>
      </c>
      <c r="AI193" s="7">
        <f t="shared" si="237"/>
        <v>3.4726197849998766E-2</v>
      </c>
      <c r="AK193" s="5" t="s">
        <v>188</v>
      </c>
      <c r="AL193" s="42"/>
      <c r="AM193" s="42"/>
      <c r="AN193" s="42"/>
      <c r="AO193" s="40"/>
      <c r="AP193" s="41" t="s">
        <v>52</v>
      </c>
      <c r="AQ193" s="42"/>
      <c r="AR193" s="42"/>
      <c r="AS193" s="40"/>
      <c r="AT193" s="6"/>
      <c r="AU193" s="59" t="s">
        <v>162</v>
      </c>
    </row>
    <row r="194" spans="1:74" x14ac:dyDescent="0.3">
      <c r="M194" s="72">
        <f t="shared" si="218"/>
        <v>28.714119014522936</v>
      </c>
      <c r="N194" s="72">
        <f t="shared" si="219"/>
        <v>28.993085057759682</v>
      </c>
      <c r="O194" s="72">
        <f t="shared" si="220"/>
        <v>29.168042359388245</v>
      </c>
      <c r="P194" s="72">
        <f t="shared" si="221"/>
        <v>29.135906615509143</v>
      </c>
      <c r="Q194" s="72">
        <f t="shared" si="222"/>
        <v>29.047645015598643</v>
      </c>
      <c r="R194" s="43">
        <v>62780949.445052952</v>
      </c>
      <c r="S194" s="43">
        <v>63390884.684524328</v>
      </c>
      <c r="T194" s="43">
        <v>63773413.763791233</v>
      </c>
      <c r="U194" s="43">
        <v>63703151.726121448</v>
      </c>
      <c r="V194" s="43">
        <v>63510175.33568725</v>
      </c>
      <c r="W194" s="7">
        <f t="shared" si="223"/>
        <v>0.16128434644783909</v>
      </c>
      <c r="Y194" s="72">
        <f t="shared" si="232"/>
        <v>1.6627827897213572</v>
      </c>
      <c r="Z194" s="72">
        <f t="shared" si="233"/>
        <v>1.7485797767921307</v>
      </c>
      <c r="AA194" s="72">
        <f t="shared" si="234"/>
        <v>1.6531898181037419</v>
      </c>
      <c r="AB194" s="72">
        <f t="shared" si="235"/>
        <v>1.5949292048568369</v>
      </c>
      <c r="AC194" s="72">
        <f t="shared" si="236"/>
        <v>1.6733362969615064</v>
      </c>
      <c r="AD194" s="43">
        <v>3635531.4333970007</v>
      </c>
      <c r="AE194" s="43">
        <v>3823119.1600169176</v>
      </c>
      <c r="AF194" s="43">
        <v>3614557.2267410792</v>
      </c>
      <c r="AG194" s="43">
        <v>3487175.4110899777</v>
      </c>
      <c r="AH194" s="43">
        <v>3658605.7685063835</v>
      </c>
      <c r="AI194" s="7">
        <f t="shared" si="237"/>
        <v>4.9187725736867458E-2</v>
      </c>
      <c r="AK194" s="72">
        <f t="shared" ref="AK194:AK205" si="238">$B$153*AP194*$L$26</f>
        <v>-1.0230355721726316E-4</v>
      </c>
      <c r="AL194" s="72">
        <f t="shared" ref="AL194:AL205" si="239">$B$153*AQ194*$L$26</f>
        <v>2.4364709259094251E-3</v>
      </c>
      <c r="AM194" s="72">
        <f t="shared" ref="AM194:AM205" si="240">$B$153*AR194*$L$26</f>
        <v>3.298998612572864E-3</v>
      </c>
      <c r="AN194" s="72">
        <f t="shared" ref="AN194:AN205" si="241">$B$153*AS194*$L$26</f>
        <v>-4.1060139574649067E-4</v>
      </c>
      <c r="AO194" s="72">
        <f t="shared" ref="AO194:AO205" si="242">$B$153*AT194*$L$26</f>
        <v>-7.2099649848341709E-4</v>
      </c>
      <c r="AP194" s="43">
        <v>-223.67792132008717</v>
      </c>
      <c r="AQ194" s="43">
        <v>5327.1339422426772</v>
      </c>
      <c r="AR194" s="43">
        <v>7212.9764806812718</v>
      </c>
      <c r="AS194" s="43">
        <v>-897.74460624721667</v>
      </c>
      <c r="AT194" s="43">
        <v>-1576.396778826949</v>
      </c>
      <c r="AU194" s="7">
        <f t="shared" ref="AU194:AU205" si="243">_xlfn.STDEV.P(AK194:AO194)</f>
        <v>1.6410883489288827E-3</v>
      </c>
    </row>
    <row r="195" spans="1:74" x14ac:dyDescent="0.3">
      <c r="M195" s="72">
        <f t="shared" si="218"/>
        <v>31.627826438177287</v>
      </c>
      <c r="N195" s="72">
        <f t="shared" si="219"/>
        <v>31.90679248141403</v>
      </c>
      <c r="O195" s="72">
        <f t="shared" si="220"/>
        <v>32.081749783042596</v>
      </c>
      <c r="P195" s="72">
        <f t="shared" si="221"/>
        <v>32.049614039163501</v>
      </c>
      <c r="Q195" s="72">
        <f t="shared" si="222"/>
        <v>31.961352439252998</v>
      </c>
      <c r="R195" s="43">
        <v>69151519.907953098</v>
      </c>
      <c r="S195" s="43">
        <v>69761455.147424474</v>
      </c>
      <c r="T195" s="43">
        <v>70143984.22669138</v>
      </c>
      <c r="U195" s="43">
        <v>70073722.189021602</v>
      </c>
      <c r="V195" s="43">
        <v>69880745.798587397</v>
      </c>
      <c r="W195" s="7">
        <f t="shared" si="223"/>
        <v>0.16128434644784043</v>
      </c>
      <c r="Y195" s="72">
        <f t="shared" si="232"/>
        <v>1.9945323689016816</v>
      </c>
      <c r="Z195" s="72">
        <f t="shared" si="233"/>
        <v>2.0732975168462717</v>
      </c>
      <c r="AA195" s="72">
        <f t="shared" si="234"/>
        <v>2.0057870965436337</v>
      </c>
      <c r="AB195" s="72">
        <f t="shared" si="235"/>
        <v>1.9612220521533785</v>
      </c>
      <c r="AC195" s="72">
        <f t="shared" si="236"/>
        <v>2.0155558490000649</v>
      </c>
      <c r="AD195" s="43">
        <v>4360873.3304756973</v>
      </c>
      <c r="AE195" s="43">
        <v>4533086.5461637834</v>
      </c>
      <c r="AF195" s="43">
        <v>4385480.8236308889</v>
      </c>
      <c r="AG195" s="43">
        <v>4288043.190337453</v>
      </c>
      <c r="AH195" s="43">
        <v>4406839.3599592457</v>
      </c>
      <c r="AI195" s="7">
        <f t="shared" si="237"/>
        <v>3.6534083467038271E-2</v>
      </c>
      <c r="AK195" s="72">
        <f t="shared" si="238"/>
        <v>4.0495230689104704E-2</v>
      </c>
      <c r="AL195" s="72">
        <f t="shared" si="239"/>
        <v>3.444086042342661E-2</v>
      </c>
      <c r="AM195" s="72">
        <f t="shared" si="240"/>
        <v>6.0912661074350123E-2</v>
      </c>
      <c r="AN195" s="72">
        <f t="shared" si="241"/>
        <v>6.1422051669697927E-2</v>
      </c>
      <c r="AO195" s="72">
        <f t="shared" si="242"/>
        <v>5.2659728283250516E-2</v>
      </c>
      <c r="AP195" s="43">
        <v>88539.335975190043</v>
      </c>
      <c r="AQ195" s="43">
        <v>75301.976563991571</v>
      </c>
      <c r="AR195" s="43">
        <v>133180.28993117466</v>
      </c>
      <c r="AS195" s="43">
        <v>134294.02861833901</v>
      </c>
      <c r="AT195" s="43">
        <v>115135.96281567487</v>
      </c>
      <c r="AU195" s="7">
        <f t="shared" si="243"/>
        <v>1.0854032333372871E-2</v>
      </c>
    </row>
    <row r="196" spans="1:74" x14ac:dyDescent="0.3">
      <c r="Y196" s="72">
        <f t="shared" si="232"/>
        <v>2.6976194208796165</v>
      </c>
      <c r="Z196" s="72">
        <f t="shared" si="233"/>
        <v>2.7278133564847185</v>
      </c>
      <c r="AA196" s="72">
        <f t="shared" si="234"/>
        <v>2.7157315002427276</v>
      </c>
      <c r="AB196" s="72">
        <f t="shared" si="235"/>
        <v>2.7051537667848571</v>
      </c>
      <c r="AC196" s="72">
        <f t="shared" si="236"/>
        <v>2.7186429009779998</v>
      </c>
      <c r="AD196" s="43">
        <v>5898112.6462064991</v>
      </c>
      <c r="AE196" s="43">
        <v>5964129.0872406932</v>
      </c>
      <c r="AF196" s="43">
        <v>5937713.1486027297</v>
      </c>
      <c r="AG196" s="43">
        <v>5914585.8449537493</v>
      </c>
      <c r="AH196" s="43">
        <v>5944078.6756900474</v>
      </c>
      <c r="AI196" s="7">
        <f t="shared" si="237"/>
        <v>1.0553333502347446E-2</v>
      </c>
      <c r="AK196" s="72">
        <f t="shared" si="238"/>
        <v>2.8268387511373234E-2</v>
      </c>
      <c r="AL196" s="72">
        <f t="shared" si="239"/>
        <v>4.9570553113990952E-2</v>
      </c>
      <c r="AM196" s="72">
        <f t="shared" si="240"/>
        <v>0.18433781915873185</v>
      </c>
      <c r="AN196" s="72">
        <f t="shared" si="241"/>
        <v>8.1057706437954846E-2</v>
      </c>
      <c r="AO196" s="72">
        <f t="shared" si="242"/>
        <v>9.9017307412748695E-2</v>
      </c>
      <c r="AP196" s="43">
        <v>61806.395883052479</v>
      </c>
      <c r="AQ196" s="43">
        <v>108381.74723169312</v>
      </c>
      <c r="AR196" s="43">
        <v>403038.7733491789</v>
      </c>
      <c r="AS196" s="43">
        <v>177225.69748489754</v>
      </c>
      <c r="AT196" s="43">
        <v>216492.81901077763</v>
      </c>
      <c r="AU196" s="7">
        <f t="shared" si="243"/>
        <v>5.3840924442926728E-2</v>
      </c>
    </row>
    <row r="197" spans="1:74" x14ac:dyDescent="0.3">
      <c r="Y197" s="72">
        <f t="shared" si="232"/>
        <v>4.1014627207513561</v>
      </c>
      <c r="Z197" s="72">
        <f t="shared" si="233"/>
        <v>4.2534556646892501</v>
      </c>
      <c r="AA197" s="72">
        <f t="shared" si="234"/>
        <v>4.2812704533124011</v>
      </c>
      <c r="AB197" s="72">
        <f t="shared" si="235"/>
        <v>4.1089970666565963</v>
      </c>
      <c r="AC197" s="72">
        <f t="shared" si="236"/>
        <v>4.0949812701511252</v>
      </c>
      <c r="AD197" s="43">
        <v>8967495.1751793548</v>
      </c>
      <c r="AE197" s="43">
        <v>9299814.6631825715</v>
      </c>
      <c r="AF197" s="43">
        <v>9360629.3041434065</v>
      </c>
      <c r="AG197" s="43">
        <v>8983968.373926606</v>
      </c>
      <c r="AH197" s="43">
        <v>8953324.0413807556</v>
      </c>
      <c r="AI197" s="7">
        <f t="shared" si="237"/>
        <v>8.1698410282239731E-2</v>
      </c>
      <c r="AK197" s="72">
        <f t="shared" si="238"/>
        <v>4.7857895029880311E-2</v>
      </c>
      <c r="AL197" s="72">
        <f t="shared" si="239"/>
        <v>0.10895078154023734</v>
      </c>
      <c r="AM197" s="72">
        <f t="shared" si="240"/>
        <v>0.26959501967857374</v>
      </c>
      <c r="AN197" s="72">
        <f t="shared" si="241"/>
        <v>0.11404342332873448</v>
      </c>
      <c r="AO197" s="72">
        <f t="shared" si="242"/>
        <v>0.15839753583899507</v>
      </c>
      <c r="AP197" s="43">
        <v>104637.16776049885</v>
      </c>
      <c r="AQ197" s="43">
        <v>238211.50509326503</v>
      </c>
      <c r="AR197" s="43">
        <v>589446.30314160441</v>
      </c>
      <c r="AS197" s="43">
        <v>249346.12797700023</v>
      </c>
      <c r="AT197" s="43">
        <v>346322.57687234954</v>
      </c>
      <c r="AU197" s="7">
        <f t="shared" si="243"/>
        <v>7.383906396209744E-2</v>
      </c>
    </row>
    <row r="198" spans="1:74" x14ac:dyDescent="0.3">
      <c r="Y198" s="72">
        <f t="shared" si="232"/>
        <v>5.6281172315156516</v>
      </c>
      <c r="Z198" s="72">
        <f t="shared" si="233"/>
        <v>5.7127945587119608</v>
      </c>
      <c r="AA198" s="72">
        <f t="shared" si="234"/>
        <v>5.8345788354454715</v>
      </c>
      <c r="AB198" s="72">
        <f t="shared" si="235"/>
        <v>5.675574692111784</v>
      </c>
      <c r="AC198" s="72">
        <f t="shared" si="236"/>
        <v>5.5271179530161865</v>
      </c>
      <c r="AD198" s="43">
        <v>12305393.844885334</v>
      </c>
      <c r="AE198" s="43">
        <v>12490533.531572744</v>
      </c>
      <c r="AF198" s="43">
        <v>12756804.369168067</v>
      </c>
      <c r="AG198" s="43">
        <v>12409155.497226801</v>
      </c>
      <c r="AH198" s="43">
        <v>12084567.616706274</v>
      </c>
      <c r="AI198" s="7">
        <f t="shared" si="237"/>
        <v>0.10095467380925893</v>
      </c>
      <c r="AK198" s="72">
        <f t="shared" si="238"/>
        <v>6.2926734255626143E-2</v>
      </c>
      <c r="AL198" s="72">
        <f t="shared" si="239"/>
        <v>0.11499861196349988</v>
      </c>
      <c r="AM198" s="72">
        <f t="shared" si="240"/>
        <v>0.33321680084454103</v>
      </c>
      <c r="AN198" s="72">
        <f t="shared" si="241"/>
        <v>0.1991577426678835</v>
      </c>
      <c r="AO198" s="72">
        <f t="shared" si="242"/>
        <v>0.20456865914494618</v>
      </c>
      <c r="AP198" s="43">
        <v>137583.88756578689</v>
      </c>
      <c r="AQ198" s="43">
        <v>251434.56570198719</v>
      </c>
      <c r="AR198" s="43">
        <v>728549.85094554792</v>
      </c>
      <c r="AS198" s="43">
        <v>435441.26036739536</v>
      </c>
      <c r="AT198" s="43">
        <v>447271.76345983089</v>
      </c>
      <c r="AU198" s="7">
        <f t="shared" si="243"/>
        <v>9.2014283050981902E-2</v>
      </c>
    </row>
    <row r="199" spans="1:74" x14ac:dyDescent="0.3">
      <c r="Y199" s="72">
        <f t="shared" si="232"/>
        <v>7.0952431598236272</v>
      </c>
      <c r="Z199" s="72">
        <f t="shared" si="233"/>
        <v>7.2610127375739104</v>
      </c>
      <c r="AA199" s="72">
        <f t="shared" si="234"/>
        <v>7.409515721199905</v>
      </c>
      <c r="AB199" s="72">
        <f t="shared" si="235"/>
        <v>7.1153532582270858</v>
      </c>
      <c r="AC199" s="72">
        <f t="shared" si="236"/>
        <v>7.0619186942864767</v>
      </c>
      <c r="AD199" s="43">
        <v>15513138.393413659</v>
      </c>
      <c r="AE199" s="43">
        <v>15875579.305321999</v>
      </c>
      <c r="AF199" s="43">
        <v>16200268.295527397</v>
      </c>
      <c r="AG199" s="43">
        <v>15557107.392447338</v>
      </c>
      <c r="AH199" s="43">
        <v>15440277.318166561</v>
      </c>
      <c r="AI199" s="7">
        <f t="shared" si="237"/>
        <v>0.1297506054412709</v>
      </c>
      <c r="AK199" s="72">
        <f t="shared" si="238"/>
        <v>0.10021044072060997</v>
      </c>
      <c r="AL199" s="72">
        <f t="shared" si="239"/>
        <v>0.18711472833048265</v>
      </c>
      <c r="AM199" s="72">
        <f t="shared" si="240"/>
        <v>0.36608114530320862</v>
      </c>
      <c r="AN199" s="72">
        <f t="shared" si="241"/>
        <v>0.20970245211986224</v>
      </c>
      <c r="AO199" s="72">
        <f t="shared" si="242"/>
        <v>0.28097458664944991</v>
      </c>
      <c r="AP199" s="43">
        <v>219101.50228064085</v>
      </c>
      <c r="AQ199" s="43">
        <v>409110.24621021346</v>
      </c>
      <c r="AR199" s="43">
        <v>800404.9110628675</v>
      </c>
      <c r="AS199" s="43">
        <v>458496.35987027828</v>
      </c>
      <c r="AT199" s="43">
        <v>614326.74674302002</v>
      </c>
      <c r="AU199" s="7">
        <f t="shared" si="243"/>
        <v>8.967268471849868E-2</v>
      </c>
    </row>
    <row r="200" spans="1:74" x14ac:dyDescent="0.3">
      <c r="A200" s="75" t="s">
        <v>223</v>
      </c>
      <c r="B200" s="6" t="s">
        <v>82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Y200" s="72">
        <f t="shared" si="232"/>
        <v>8.5771960303075314</v>
      </c>
      <c r="Z200" s="72">
        <f t="shared" si="233"/>
        <v>8.7704285089147884</v>
      </c>
      <c r="AA200" s="72">
        <f t="shared" si="234"/>
        <v>8.9462349571083113</v>
      </c>
      <c r="AB200" s="72">
        <f t="shared" si="235"/>
        <v>8.6247690295679647</v>
      </c>
      <c r="AC200" s="72">
        <f t="shared" si="236"/>
        <v>8.6527720720647032</v>
      </c>
      <c r="AD200" s="43">
        <v>18753300.774670921</v>
      </c>
      <c r="AE200" s="43">
        <v>19175786.955230694</v>
      </c>
      <c r="AF200" s="43">
        <v>19560172.620365307</v>
      </c>
      <c r="AG200" s="43">
        <v>18857315.042356033</v>
      </c>
      <c r="AH200" s="43">
        <v>18918541.284206126</v>
      </c>
      <c r="AI200" s="7">
        <f t="shared" si="237"/>
        <v>0.13232022593211143</v>
      </c>
      <c r="AK200" s="72">
        <f t="shared" si="238"/>
        <v>0.15923397162919531</v>
      </c>
      <c r="AL200" s="72">
        <f t="shared" si="239"/>
        <v>0.30538074840747581</v>
      </c>
      <c r="AM200" s="72">
        <f t="shared" si="240"/>
        <v>0.44657436482788737</v>
      </c>
      <c r="AN200" s="72">
        <f t="shared" si="241"/>
        <v>0.22917428530653799</v>
      </c>
      <c r="AO200" s="72">
        <f t="shared" si="242"/>
        <v>0.31376215806916896</v>
      </c>
      <c r="AP200" s="43">
        <v>348151.37172522431</v>
      </c>
      <c r="AQ200" s="43">
        <v>667688.71848603035</v>
      </c>
      <c r="AR200" s="43">
        <v>976396.40650427365</v>
      </c>
      <c r="AS200" s="43">
        <v>501069.84695086413</v>
      </c>
      <c r="AT200" s="43">
        <v>686013.94921948586</v>
      </c>
      <c r="AU200" s="7">
        <f t="shared" si="243"/>
        <v>9.6034219990716832E-2</v>
      </c>
    </row>
    <row r="201" spans="1:74" x14ac:dyDescent="0.3">
      <c r="A201" s="6" t="s">
        <v>224</v>
      </c>
      <c r="B201" s="76">
        <v>1.6666666666666666E-2</v>
      </c>
      <c r="C201" s="76">
        <v>0.5</v>
      </c>
      <c r="D201" s="76">
        <v>1</v>
      </c>
      <c r="E201" s="76">
        <v>1.5</v>
      </c>
      <c r="F201" s="76">
        <v>2</v>
      </c>
      <c r="G201" s="76">
        <v>2.5</v>
      </c>
      <c r="H201" s="76">
        <v>3</v>
      </c>
      <c r="I201" s="76">
        <v>4</v>
      </c>
      <c r="J201" s="76">
        <v>6</v>
      </c>
      <c r="K201" s="76">
        <v>8</v>
      </c>
      <c r="L201" s="76">
        <v>10</v>
      </c>
      <c r="M201" s="76">
        <v>12</v>
      </c>
      <c r="AK201" s="72">
        <f t="shared" si="238"/>
        <v>0.16225085193230027</v>
      </c>
      <c r="AL201" s="72">
        <f t="shared" si="239"/>
        <v>0.45788652058221507</v>
      </c>
      <c r="AM201" s="72">
        <f t="shared" si="240"/>
        <v>0.66658206952109478</v>
      </c>
      <c r="AN201" s="72">
        <f t="shared" si="241"/>
        <v>0.34726075525651384</v>
      </c>
      <c r="AO201" s="72">
        <f t="shared" si="242"/>
        <v>0.44911488982597592</v>
      </c>
      <c r="AP201" s="43">
        <v>354747.52080767445</v>
      </c>
      <c r="AQ201" s="43">
        <v>1001129.4612836251</v>
      </c>
      <c r="AR201" s="43">
        <v>1457424.3140253248</v>
      </c>
      <c r="AS201" s="43">
        <v>759255.74833006295</v>
      </c>
      <c r="AT201" s="43">
        <v>981951.04571811203</v>
      </c>
      <c r="AU201" s="7">
        <f t="shared" si="243"/>
        <v>0.16416713928206211</v>
      </c>
    </row>
    <row r="202" spans="1:74" x14ac:dyDescent="0.3">
      <c r="A202" s="77">
        <v>6.0000000000000001E-3</v>
      </c>
      <c r="B202" s="50">
        <v>1.6410883489288827E-3</v>
      </c>
      <c r="C202" s="50">
        <v>1.0854032333372871E-2</v>
      </c>
      <c r="D202" s="50">
        <v>5.3840924442926728E-2</v>
      </c>
      <c r="E202" s="50">
        <v>7.383906396209744E-2</v>
      </c>
      <c r="F202" s="50">
        <v>9.2014283050981902E-2</v>
      </c>
      <c r="G202" s="50">
        <v>8.967268471849868E-2</v>
      </c>
      <c r="H202" s="50">
        <v>9.6034219990716832E-2</v>
      </c>
      <c r="I202" s="50">
        <v>0.16416713928206211</v>
      </c>
      <c r="J202" s="50">
        <v>0.21513023733435205</v>
      </c>
      <c r="K202" s="50">
        <v>0.26874660520238214</v>
      </c>
      <c r="L202" s="50">
        <v>0.27259901093209721</v>
      </c>
      <c r="M202" s="50">
        <v>0.25294327819575624</v>
      </c>
      <c r="AK202" s="72">
        <f t="shared" si="238"/>
        <v>0.51676325749814378</v>
      </c>
      <c r="AL202" s="72">
        <f t="shared" si="239"/>
        <v>0.55320582739151858</v>
      </c>
      <c r="AM202" s="72">
        <f t="shared" si="240"/>
        <v>1.0880841987201775</v>
      </c>
      <c r="AN202" s="72">
        <f t="shared" si="241"/>
        <v>0.53041055932273129</v>
      </c>
      <c r="AO202" s="72">
        <f t="shared" si="242"/>
        <v>0.66699040454319092</v>
      </c>
      <c r="AP202" s="43">
        <v>1129858.3782996438</v>
      </c>
      <c r="AQ202" s="43">
        <v>1209536.9203077271</v>
      </c>
      <c r="AR202" s="43">
        <v>2379002.4356053658</v>
      </c>
      <c r="AS202" s="43">
        <v>1159697.0289466463</v>
      </c>
      <c r="AT202" s="43">
        <v>1458317.1034006802</v>
      </c>
      <c r="AU202" s="7">
        <f t="shared" si="243"/>
        <v>0.21513023733435205</v>
      </c>
    </row>
    <row r="203" spans="1:74" x14ac:dyDescent="0.3">
      <c r="A203" s="77">
        <v>0.06</v>
      </c>
      <c r="B203" s="50">
        <v>4.8814675240080102E-4</v>
      </c>
      <c r="C203" s="50">
        <v>1.3203782489427825E-2</v>
      </c>
      <c r="D203" s="50">
        <v>1.428667729625043E-2</v>
      </c>
      <c r="E203" s="50">
        <v>1.1716956541014152E-2</v>
      </c>
      <c r="F203" s="50">
        <v>1.7146313376554517E-2</v>
      </c>
      <c r="G203" s="50">
        <v>2.6531643369191758E-2</v>
      </c>
      <c r="H203" s="50">
        <v>6.3328169946943624E-2</v>
      </c>
      <c r="I203" s="50">
        <v>8.9882284156491951E-2</v>
      </c>
      <c r="J203" s="50">
        <v>0.11066138660485958</v>
      </c>
      <c r="K203" s="50">
        <v>0.10213235879854383</v>
      </c>
      <c r="L203" s="50">
        <v>0.19395293487284293</v>
      </c>
      <c r="M203" s="50">
        <v>0.18414023573115854</v>
      </c>
      <c r="AK203" s="72">
        <f t="shared" si="238"/>
        <v>0.73543831538863325</v>
      </c>
      <c r="AL203" s="72">
        <f t="shared" si="239"/>
        <v>0.8750712916860317</v>
      </c>
      <c r="AM203" s="72">
        <f t="shared" si="240"/>
        <v>1.4099496630146904</v>
      </c>
      <c r="AN203" s="72">
        <f t="shared" si="241"/>
        <v>0.69671905715270754</v>
      </c>
      <c r="AO203" s="72">
        <f t="shared" si="242"/>
        <v>1.1398966653081093</v>
      </c>
      <c r="AP203" s="43">
        <v>1607972.5683039837</v>
      </c>
      <c r="AQ203" s="43">
        <v>1913268.0510369018</v>
      </c>
      <c r="AR203" s="43">
        <v>3082733.5663345405</v>
      </c>
      <c r="AS203" s="43">
        <v>1523316.243217703</v>
      </c>
      <c r="AT203" s="43">
        <v>2492285.933658544</v>
      </c>
      <c r="AU203" s="7">
        <f t="shared" si="243"/>
        <v>0.26874660520238214</v>
      </c>
    </row>
    <row r="204" spans="1:74" x14ac:dyDescent="0.3">
      <c r="A204" s="77">
        <v>0.6</v>
      </c>
      <c r="B204" s="50">
        <v>5.635247187208563E-4</v>
      </c>
      <c r="C204" s="50">
        <v>6.7176227788112693E-3</v>
      </c>
      <c r="D204" s="50">
        <v>2.5751485197646522E-2</v>
      </c>
      <c r="E204" s="50">
        <v>2.1304902301995002E-2</v>
      </c>
      <c r="F204" s="50">
        <v>3.4726197849998766E-2</v>
      </c>
      <c r="G204" s="50">
        <v>4.9187725736867458E-2</v>
      </c>
      <c r="H204" s="50">
        <v>3.6534083467038271E-2</v>
      </c>
      <c r="I204" s="50">
        <v>1.0553333502347446E-2</v>
      </c>
      <c r="J204" s="50">
        <v>8.1698410282239731E-2</v>
      </c>
      <c r="K204" s="50">
        <v>0.10095467380925893</v>
      </c>
      <c r="L204" s="50">
        <v>0.1297506054412709</v>
      </c>
      <c r="M204" s="50">
        <v>0.13232022593211143</v>
      </c>
      <c r="AK204" s="72">
        <f t="shared" si="238"/>
        <v>1.1101427920225582</v>
      </c>
      <c r="AL204" s="72">
        <f t="shared" si="239"/>
        <v>1.1123532106765754</v>
      </c>
      <c r="AM204" s="72">
        <f t="shared" si="240"/>
        <v>1.7163934265896876</v>
      </c>
      <c r="AN204" s="72">
        <f t="shared" si="241"/>
        <v>0.96869565146933467</v>
      </c>
      <c r="AO204" s="72">
        <f t="shared" si="242"/>
        <v>1.4463404288831061</v>
      </c>
      <c r="AP204" s="43">
        <v>2427231.6510044285</v>
      </c>
      <c r="AQ204" s="43">
        <v>2432064.5411133002</v>
      </c>
      <c r="AR204" s="43">
        <v>3752746.4759774623</v>
      </c>
      <c r="AS204" s="43">
        <v>2117969.6542937569</v>
      </c>
      <c r="AT204" s="43">
        <v>3162298.8433014657</v>
      </c>
      <c r="AU204" s="7">
        <f t="shared" si="243"/>
        <v>0.27259901093209721</v>
      </c>
    </row>
    <row r="205" spans="1:74" x14ac:dyDescent="0.3">
      <c r="A205" s="77">
        <v>2.2999999999999998</v>
      </c>
      <c r="B205" s="50">
        <v>6.4431059928043185E-4</v>
      </c>
      <c r="C205" s="50">
        <v>7.3081583386264189E-3</v>
      </c>
      <c r="D205" s="50">
        <v>1.3905074194517086E-2</v>
      </c>
      <c r="E205" s="50">
        <v>1.4652702215221461E-2</v>
      </c>
      <c r="F205" s="50">
        <v>1.1071960201883856E-2</v>
      </c>
      <c r="G205" s="50">
        <v>1.6658252606133923E-2</v>
      </c>
      <c r="H205" s="50">
        <v>7.1490400493833539E-2</v>
      </c>
      <c r="I205" s="50"/>
      <c r="J205" s="50"/>
      <c r="K205" s="50"/>
      <c r="L205" s="50"/>
      <c r="M205" s="50"/>
      <c r="AK205" s="72">
        <f t="shared" si="238"/>
        <v>1.3998671392479514</v>
      </c>
      <c r="AL205" s="72">
        <f t="shared" si="239"/>
        <v>1.6052245122021804</v>
      </c>
      <c r="AM205" s="72">
        <f t="shared" si="240"/>
        <v>2.1086822117178725</v>
      </c>
      <c r="AN205" s="72">
        <f t="shared" si="241"/>
        <v>1.4615669529949398</v>
      </c>
      <c r="AO205" s="72">
        <f t="shared" si="242"/>
        <v>1.7532989644446235</v>
      </c>
      <c r="AP205" s="43">
        <v>3060688.996046382</v>
      </c>
      <c r="AQ205" s="43">
        <v>3509685.2143558348</v>
      </c>
      <c r="AR205" s="43">
        <v>4610452.1355011761</v>
      </c>
      <c r="AS205" s="43">
        <v>3195590.3275362914</v>
      </c>
      <c r="AT205" s="43">
        <v>3833437.2575801071</v>
      </c>
      <c r="AU205" s="7">
        <f t="shared" si="243"/>
        <v>0.25294327819575624</v>
      </c>
    </row>
    <row r="206" spans="1:74" x14ac:dyDescent="0.3">
      <c r="A206" s="77">
        <v>3</v>
      </c>
      <c r="B206" s="50">
        <v>5.9427568441488047E-4</v>
      </c>
      <c r="C206" s="50">
        <v>6.0462903344771527E-3</v>
      </c>
      <c r="D206" s="50">
        <v>5.592957772800387E-3</v>
      </c>
      <c r="E206" s="50">
        <v>1.1483321335885822E-2</v>
      </c>
      <c r="F206" s="50">
        <v>2.6527230845544085E-2</v>
      </c>
      <c r="G206" s="50">
        <v>3.3281918150464954E-2</v>
      </c>
      <c r="H206" s="50">
        <v>3.4465559417095191E-2</v>
      </c>
      <c r="I206" s="50">
        <v>4.455689848193161E-2</v>
      </c>
      <c r="J206" s="50">
        <v>8.4304905318905485E-2</v>
      </c>
      <c r="K206" s="50">
        <v>0.16128434644784043</v>
      </c>
      <c r="L206" s="50"/>
      <c r="M206" s="50"/>
    </row>
    <row r="207" spans="1:74" x14ac:dyDescent="0.3">
      <c r="BU207" t="s">
        <v>221</v>
      </c>
      <c r="BV207" t="s">
        <v>222</v>
      </c>
    </row>
    <row r="208" spans="1:74" x14ac:dyDescent="0.3">
      <c r="AW208" s="32"/>
      <c r="AX208" s="33" t="s">
        <v>278</v>
      </c>
      <c r="AY208" s="33" t="s">
        <v>252</v>
      </c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4"/>
      <c r="BU208" t="s">
        <v>82</v>
      </c>
    </row>
    <row r="209" spans="49:99" x14ac:dyDescent="0.3">
      <c r="AW209" s="87"/>
      <c r="AX209" s="31" t="s">
        <v>246</v>
      </c>
      <c r="AY209" s="103">
        <v>0.02</v>
      </c>
      <c r="AZ209" s="103">
        <v>0.8</v>
      </c>
      <c r="BA209" s="103">
        <v>1.6</v>
      </c>
      <c r="BB209" s="103">
        <v>3.2</v>
      </c>
      <c r="BC209" s="103">
        <v>4.8</v>
      </c>
      <c r="BD209" s="103">
        <v>6.6</v>
      </c>
      <c r="BE209" s="103">
        <v>10.4</v>
      </c>
      <c r="BF209" s="103">
        <v>14.6</v>
      </c>
      <c r="BG209" s="103">
        <v>25.637924955686486</v>
      </c>
      <c r="BH209" s="103">
        <v>36.363667013986223</v>
      </c>
      <c r="BI209" s="103">
        <v>47.022541816120068</v>
      </c>
      <c r="BJ209" s="103">
        <v>56.551994158358305</v>
      </c>
      <c r="BK209" s="103">
        <v>65.706535734448579</v>
      </c>
      <c r="BL209" s="103">
        <v>75.152718281820171</v>
      </c>
      <c r="BM209" s="103">
        <v>84.432080238998495</v>
      </c>
      <c r="BN209" s="103">
        <v>93.96130798294125</v>
      </c>
      <c r="BO209" s="103">
        <v>104</v>
      </c>
      <c r="BP209" s="103">
        <v>113.32381805891949</v>
      </c>
      <c r="BQ209" s="103">
        <v>119.7693093088764</v>
      </c>
      <c r="BR209" s="103">
        <v>126.21480055883335</v>
      </c>
      <c r="BT209" t="s">
        <v>92</v>
      </c>
      <c r="BU209" s="103">
        <v>0.02</v>
      </c>
      <c r="BV209" s="103">
        <v>0.8</v>
      </c>
      <c r="BW209" s="103">
        <v>1.6</v>
      </c>
      <c r="BX209" s="103">
        <v>3.2</v>
      </c>
      <c r="BY209" s="103">
        <v>4.8</v>
      </c>
      <c r="BZ209" s="103">
        <v>6.6</v>
      </c>
      <c r="CA209" s="103">
        <v>10.4</v>
      </c>
      <c r="CB209" s="103">
        <v>14.6</v>
      </c>
      <c r="CC209" s="103">
        <v>25.637924955686486</v>
      </c>
      <c r="CD209" s="103">
        <v>36.363667013986223</v>
      </c>
      <c r="CE209" s="103">
        <v>47.022541816120068</v>
      </c>
      <c r="CF209" s="103">
        <v>56.551994158358305</v>
      </c>
      <c r="CG209" s="103">
        <v>65.706535734448579</v>
      </c>
      <c r="CH209" s="103">
        <v>75.152718281820171</v>
      </c>
      <c r="CI209" s="103">
        <v>84.432080238998495</v>
      </c>
      <c r="CJ209" s="103">
        <v>93.96130798294125</v>
      </c>
      <c r="CK209" s="103">
        <v>103.49068545909603</v>
      </c>
      <c r="CL209" s="103">
        <v>113.32381805891949</v>
      </c>
      <c r="CM209" s="103">
        <v>119.7693093088764</v>
      </c>
      <c r="CN209" s="103">
        <v>126.21480055883335</v>
      </c>
    </row>
    <row r="210" spans="49:99" x14ac:dyDescent="0.3">
      <c r="AW210" s="87" t="s">
        <v>264</v>
      </c>
      <c r="AX210" s="71">
        <v>0.6</v>
      </c>
      <c r="AY210" s="52">
        <f>AY209/$BN$155</f>
        <v>1.9758355314503624E-4</v>
      </c>
      <c r="AZ210" s="52">
        <f>AZ209/$BN$155</f>
        <v>7.9033421258014498E-3</v>
      </c>
      <c r="BA210" s="52">
        <f>BA209/$BN$155</f>
        <v>1.58066842516029E-2</v>
      </c>
      <c r="BB210" s="52">
        <f>BB209/$BN$155</f>
        <v>3.1613368503205799E-2</v>
      </c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T210" s="71" t="s">
        <v>173</v>
      </c>
      <c r="BU210" s="52">
        <v>1.4785562627177288E-6</v>
      </c>
      <c r="BV210" s="52">
        <v>8.9195417929326484E-6</v>
      </c>
      <c r="BW210" s="52">
        <v>3.5200753164686205E-5</v>
      </c>
      <c r="BX210" s="52">
        <v>3.5200753164686205E-5</v>
      </c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</row>
    <row r="211" spans="49:99" x14ac:dyDescent="0.3">
      <c r="AW211" s="87"/>
      <c r="AX211" s="71">
        <v>2.2999999999999998</v>
      </c>
      <c r="AY211" s="52">
        <f t="shared" ref="AY211:BE211" si="244">AY209/$BN$155</f>
        <v>1.9758355314503624E-4</v>
      </c>
      <c r="AZ211" s="52">
        <f t="shared" si="244"/>
        <v>7.9033421258014498E-3</v>
      </c>
      <c r="BA211" s="52">
        <f t="shared" si="244"/>
        <v>1.58066842516029E-2</v>
      </c>
      <c r="BB211" s="52">
        <f t="shared" si="244"/>
        <v>3.1613368503205799E-2</v>
      </c>
      <c r="BC211" s="52">
        <f t="shared" si="244"/>
        <v>4.7420052754808692E-2</v>
      </c>
      <c r="BD211" s="52">
        <f t="shared" si="244"/>
        <v>6.520257253786195E-2</v>
      </c>
      <c r="BE211" s="52">
        <f t="shared" si="244"/>
        <v>0.10274344763541884</v>
      </c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T211" s="71" t="s">
        <v>69</v>
      </c>
      <c r="BU211" s="52">
        <v>1.3978364332299024E-6</v>
      </c>
      <c r="BV211" s="52">
        <v>6.5033562085517818E-5</v>
      </c>
      <c r="BW211" s="52">
        <v>9.5518068104944592E-5</v>
      </c>
      <c r="BX211" s="52">
        <v>1.557228944110145E-5</v>
      </c>
      <c r="BY211" s="52">
        <v>8.3983023645747834E-5</v>
      </c>
      <c r="BZ211" s="52">
        <v>1.4248896218246182E-4</v>
      </c>
      <c r="CA211" s="52">
        <v>8.9378429947584853E-4</v>
      </c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</row>
    <row r="212" spans="49:99" x14ac:dyDescent="0.3">
      <c r="AW212" s="87"/>
      <c r="AX212" s="71">
        <v>3</v>
      </c>
      <c r="AY212" s="52">
        <f t="shared" ref="AY212:BF212" si="245">AY209/$BN$155</f>
        <v>1.9758355314503624E-4</v>
      </c>
      <c r="AZ212" s="52">
        <f t="shared" si="245"/>
        <v>7.9033421258014498E-3</v>
      </c>
      <c r="BA212" s="52">
        <f t="shared" si="245"/>
        <v>1.58066842516029E-2</v>
      </c>
      <c r="BB212" s="52">
        <f t="shared" si="245"/>
        <v>3.1613368503205799E-2</v>
      </c>
      <c r="BC212" s="52">
        <f t="shared" si="245"/>
        <v>4.7420052754808692E-2</v>
      </c>
      <c r="BD212" s="52">
        <f t="shared" si="245"/>
        <v>6.520257253786195E-2</v>
      </c>
      <c r="BE212" s="52">
        <f t="shared" si="245"/>
        <v>0.10274344763541884</v>
      </c>
      <c r="BF212" s="52">
        <f t="shared" si="245"/>
        <v>0.14423599379587645</v>
      </c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T212" s="71" t="s">
        <v>147</v>
      </c>
      <c r="BU212" s="52">
        <v>3.7380879922762364E-6</v>
      </c>
      <c r="BV212" s="52">
        <v>3.591836202454339E-6</v>
      </c>
      <c r="BW212" s="52">
        <v>2.3710736825497888E-6</v>
      </c>
      <c r="BX212" s="52">
        <v>2.3710736825523909E-6</v>
      </c>
      <c r="BY212" s="52">
        <v>5.7798121789361112E-5</v>
      </c>
      <c r="BZ212" s="52">
        <v>9.7800250136469147E-5</v>
      </c>
      <c r="CA212" s="52">
        <v>1.5623496760124381E-4</v>
      </c>
      <c r="CB212" s="52">
        <v>1.995653109459726E-4</v>
      </c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</row>
    <row r="213" spans="49:99" x14ac:dyDescent="0.3">
      <c r="AW213" s="35" t="s">
        <v>263</v>
      </c>
      <c r="AX213" s="71">
        <v>3.3</v>
      </c>
      <c r="AY213" s="52"/>
      <c r="AZ213" s="52"/>
      <c r="BA213" s="52"/>
      <c r="BB213" s="52"/>
      <c r="BC213" s="52"/>
      <c r="BD213" s="52"/>
      <c r="BE213" s="52"/>
      <c r="BF213" s="52">
        <f t="shared" ref="BF213:BR213" si="246">BF209/$BN$151</f>
        <v>0.19629750634941764</v>
      </c>
      <c r="BG213" s="52">
        <f t="shared" si="246"/>
        <v>0.34470279019005212</v>
      </c>
      <c r="BH213" s="52">
        <f t="shared" si="246"/>
        <v>0.48891076414836093</v>
      </c>
      <c r="BI213" s="52">
        <f t="shared" si="246"/>
        <v>0.63221970552846474</v>
      </c>
      <c r="BJ213" s="52">
        <f t="shared" si="246"/>
        <v>0.76034352276524442</v>
      </c>
      <c r="BK213" s="52">
        <f t="shared" si="246"/>
        <v>0.88342665174870938</v>
      </c>
      <c r="BL213" s="52">
        <f t="shared" si="246"/>
        <v>1.0104309037055885</v>
      </c>
      <c r="BM213" s="52">
        <f t="shared" si="246"/>
        <v>1.1351922470417362</v>
      </c>
      <c r="BN213" s="52">
        <f t="shared" si="246"/>
        <v>1.2633130445466436</v>
      </c>
      <c r="BO213" s="52">
        <f t="shared" si="246"/>
        <v>1.3982836068725641</v>
      </c>
      <c r="BP213" s="52">
        <f t="shared" si="246"/>
        <v>1.5236426640384246</v>
      </c>
      <c r="BQ213" s="52">
        <f t="shared" si="246"/>
        <v>1.6103025174331871</v>
      </c>
      <c r="BR213" s="52">
        <f t="shared" si="246"/>
        <v>1.69696237082795</v>
      </c>
      <c r="BS213" s="58"/>
      <c r="BT213" s="71" t="s">
        <v>282</v>
      </c>
      <c r="BU213" s="52"/>
      <c r="BV213" s="52"/>
      <c r="BW213" s="52"/>
      <c r="BX213" s="52"/>
      <c r="BY213" s="52"/>
      <c r="BZ213" s="52"/>
      <c r="CA213" s="52"/>
      <c r="CB213" s="52">
        <v>7.616546038381927E-5</v>
      </c>
      <c r="CC213" s="52">
        <v>1.3072447849888043E-2</v>
      </c>
      <c r="CD213" s="52">
        <v>2.1418167162242176E-2</v>
      </c>
      <c r="CE213" s="52">
        <v>2.1933519581832022E-2</v>
      </c>
      <c r="CF213" s="52">
        <v>1.5846925769724685E-4</v>
      </c>
      <c r="CG213" s="52">
        <v>9.6097015764323723E-4</v>
      </c>
      <c r="CH213" s="52">
        <v>1.8404617137492973E-3</v>
      </c>
      <c r="CI213" s="52">
        <v>7.2077061172981516E-4</v>
      </c>
      <c r="CJ213" s="52">
        <v>6.3217459615139138E-3</v>
      </c>
      <c r="CK213" s="52">
        <v>7.2454718775483151E-4</v>
      </c>
      <c r="CL213" s="52">
        <v>4.0828657731908358E-3</v>
      </c>
      <c r="CM213" s="52">
        <v>0</v>
      </c>
      <c r="CN213" s="52">
        <v>1.2000815869225192E-2</v>
      </c>
      <c r="CO213" s="58"/>
      <c r="CP213" s="58"/>
      <c r="CQ213" s="58"/>
      <c r="CR213" s="58"/>
      <c r="CS213" s="58"/>
      <c r="CT213" s="58"/>
      <c r="CU213" s="58"/>
    </row>
    <row r="214" spans="49:99" x14ac:dyDescent="0.3">
      <c r="BS214" s="92"/>
      <c r="CO214" s="58"/>
      <c r="CP214" s="58"/>
      <c r="CQ214" s="58"/>
      <c r="CR214" s="58"/>
      <c r="CS214" s="58"/>
      <c r="CT214" s="58"/>
      <c r="CU214" s="58"/>
    </row>
    <row r="215" spans="49:99" x14ac:dyDescent="0.3"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  <c r="BO215" s="58"/>
      <c r="BP215" s="58"/>
      <c r="BQ215" s="58"/>
      <c r="BR215" s="58"/>
      <c r="BS215" s="58"/>
      <c r="BT215" s="58"/>
      <c r="BU215" s="58"/>
      <c r="BV215" s="58"/>
      <c r="BW215" s="58"/>
      <c r="BX215" s="58"/>
      <c r="BY215" s="58"/>
      <c r="BZ215" s="58"/>
      <c r="CA215" s="58"/>
      <c r="CB215" s="58"/>
      <c r="CC215" s="58"/>
      <c r="CD215" s="58"/>
      <c r="CE215" s="58"/>
      <c r="CF215" s="58"/>
      <c r="CG215" s="58"/>
      <c r="CH215" s="58"/>
      <c r="CI215" s="58"/>
      <c r="CJ215" s="58"/>
      <c r="CK215" s="58"/>
      <c r="CL215" s="58"/>
      <c r="CM215" s="58"/>
      <c r="CN215" s="58"/>
      <c r="CP215" s="92"/>
      <c r="CQ215" s="92"/>
      <c r="CR215" s="92"/>
      <c r="CS215" s="92"/>
      <c r="CT215" s="58"/>
      <c r="CU215" s="58"/>
    </row>
    <row r="216" spans="49:99" x14ac:dyDescent="0.3"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CO216" s="58"/>
      <c r="CP216" s="58"/>
      <c r="CQ216" s="58"/>
      <c r="CR216" s="58"/>
      <c r="CS216" s="58"/>
      <c r="CT216" s="58"/>
      <c r="CU216" s="58"/>
    </row>
    <row r="217" spans="49:99" x14ac:dyDescent="0.3"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96"/>
      <c r="BY217" s="58"/>
      <c r="BZ217" s="58"/>
      <c r="CA217" s="58"/>
      <c r="CB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</row>
    <row r="218" spans="49:99" x14ac:dyDescent="0.3"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93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</row>
    <row r="219" spans="49:99" x14ac:dyDescent="0.3">
      <c r="BB219" s="58"/>
      <c r="BC219" s="58"/>
      <c r="BD219" s="58"/>
      <c r="BE219" s="58"/>
      <c r="BF219" s="58"/>
      <c r="BG219" s="58"/>
      <c r="BH219" s="58"/>
      <c r="BI219" s="58"/>
      <c r="BJ219" s="58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58"/>
      <c r="BY219" s="58"/>
      <c r="BZ219" s="93"/>
      <c r="CA219" s="93"/>
      <c r="CB219" s="93"/>
      <c r="CC219" s="93"/>
      <c r="CD219" s="93"/>
      <c r="CE219" s="93"/>
      <c r="CF219" s="93"/>
      <c r="CG219" s="93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</row>
    <row r="220" spans="49:99" x14ac:dyDescent="0.3"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CM220" s="93"/>
      <c r="CN220" s="93"/>
      <c r="CO220" s="93"/>
      <c r="CP220" s="93"/>
      <c r="CQ220" s="93"/>
      <c r="CR220" s="93"/>
      <c r="CS220" s="93"/>
      <c r="CT220" s="58"/>
      <c r="CU220" s="58"/>
    </row>
    <row r="221" spans="49:99" x14ac:dyDescent="0.3"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/>
      <c r="BZ221" s="58"/>
      <c r="CE221" s="58"/>
      <c r="CF221" s="58"/>
      <c r="CG221" s="58"/>
      <c r="CH221" s="58"/>
      <c r="CI221" s="58"/>
      <c r="CJ221" s="58"/>
      <c r="CK221" s="58"/>
      <c r="CL221" s="58"/>
      <c r="CM221" s="58"/>
      <c r="CN221" s="58"/>
      <c r="CO221" s="58"/>
      <c r="CP221" s="58"/>
      <c r="CQ221" s="58"/>
      <c r="CR221" s="58"/>
      <c r="CS221" s="58"/>
      <c r="CT221" s="58"/>
      <c r="CU221" s="58"/>
    </row>
    <row r="222" spans="49:99" x14ac:dyDescent="0.3"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8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</row>
    <row r="223" spans="49:99" x14ac:dyDescent="0.3"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/>
      <c r="BZ223" s="58"/>
      <c r="CA223" s="58"/>
      <c r="CB223" s="58"/>
      <c r="CC223" s="58"/>
      <c r="CD223" s="58"/>
      <c r="CE223" s="58"/>
      <c r="CF223" s="58"/>
      <c r="CG223" s="58"/>
      <c r="CH223" s="58"/>
      <c r="CI223" s="58"/>
      <c r="CJ223" s="58"/>
      <c r="CK223" s="58"/>
      <c r="CL223" s="58"/>
      <c r="CM223" s="58"/>
      <c r="CN223" s="58"/>
      <c r="CO223" s="58"/>
      <c r="CP223" s="58"/>
      <c r="CQ223" s="58"/>
      <c r="CR223" s="58"/>
      <c r="CS223" s="58"/>
      <c r="CT223" s="58"/>
      <c r="CU223" s="58"/>
    </row>
    <row r="231" spans="1:21" ht="16.2" x14ac:dyDescent="0.3">
      <c r="A231" s="1" t="s">
        <v>226</v>
      </c>
      <c r="I231" s="14" t="s">
        <v>229</v>
      </c>
    </row>
    <row r="232" spans="1:21" ht="16.2" x14ac:dyDescent="0.3">
      <c r="A232" s="14" t="s">
        <v>227</v>
      </c>
      <c r="B232" s="6"/>
      <c r="C232" s="5" t="s">
        <v>216</v>
      </c>
      <c r="D232" s="6"/>
      <c r="E232" s="6"/>
      <c r="F232" s="6"/>
      <c r="G232" s="6"/>
      <c r="I232" s="75" t="s">
        <v>223</v>
      </c>
      <c r="J232" s="6" t="s">
        <v>82</v>
      </c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</row>
    <row r="233" spans="1:21" x14ac:dyDescent="0.3">
      <c r="A233" s="6"/>
      <c r="B233" s="6"/>
      <c r="C233" s="6" t="s">
        <v>92</v>
      </c>
      <c r="D233" s="6"/>
      <c r="E233" s="6"/>
      <c r="F233" s="6"/>
      <c r="G233" s="6"/>
      <c r="I233" s="6" t="s">
        <v>224</v>
      </c>
      <c r="J233" s="76">
        <v>1.6666666666666666E-2</v>
      </c>
      <c r="K233" s="76">
        <v>0.5</v>
      </c>
      <c r="L233" s="76">
        <v>1</v>
      </c>
      <c r="M233" s="76">
        <v>1.5</v>
      </c>
      <c r="N233" s="76">
        <v>2</v>
      </c>
      <c r="O233" s="76">
        <v>2.5</v>
      </c>
      <c r="P233" s="76">
        <v>3</v>
      </c>
      <c r="Q233" s="76">
        <v>4</v>
      </c>
      <c r="R233" s="76">
        <v>6</v>
      </c>
      <c r="S233" s="76">
        <v>8</v>
      </c>
      <c r="T233" s="76">
        <v>10</v>
      </c>
      <c r="U233" s="76">
        <v>12</v>
      </c>
    </row>
    <row r="234" spans="1:21" x14ac:dyDescent="0.3">
      <c r="A234" s="6" t="s">
        <v>2</v>
      </c>
      <c r="B234" s="6"/>
      <c r="C234" s="6" t="s">
        <v>175</v>
      </c>
      <c r="D234" s="6" t="s">
        <v>174</v>
      </c>
      <c r="E234" s="6" t="s">
        <v>173</v>
      </c>
      <c r="F234" s="6" t="s">
        <v>69</v>
      </c>
      <c r="G234" s="6" t="s">
        <v>147</v>
      </c>
      <c r="I234" s="77">
        <v>6.0000000000000001E-3</v>
      </c>
      <c r="J234" s="50">
        <v>1.5465941405662618E-2</v>
      </c>
      <c r="K234" s="50">
        <v>0.10229054894739693</v>
      </c>
      <c r="L234" s="50">
        <v>0.50740752818366308</v>
      </c>
      <c r="M234" s="50">
        <v>0.69587395305812494</v>
      </c>
      <c r="N234" s="50">
        <v>0.86716081500387876</v>
      </c>
      <c r="O234" s="50">
        <v>0.84509312886777366</v>
      </c>
      <c r="P234" s="50">
        <v>0.90504549635267917</v>
      </c>
      <c r="Q234" s="50">
        <v>1.547143612669484</v>
      </c>
      <c r="R234" s="50">
        <v>2.0274299353663672</v>
      </c>
      <c r="S234" s="50">
        <v>2.5327211979437996</v>
      </c>
      <c r="T234" s="50">
        <v>2.5690270320114812</v>
      </c>
      <c r="U234" s="50">
        <v>2.3837875164277831</v>
      </c>
    </row>
    <row r="235" spans="1:21" x14ac:dyDescent="0.3">
      <c r="A235" s="6" t="s">
        <v>79</v>
      </c>
      <c r="B235" s="6" t="s">
        <v>106</v>
      </c>
      <c r="C235" s="6"/>
      <c r="D235" s="6"/>
      <c r="E235" s="6"/>
      <c r="F235" s="6" t="s">
        <v>208</v>
      </c>
      <c r="G235" s="6" t="s">
        <v>208</v>
      </c>
      <c r="I235" s="77">
        <v>0.06</v>
      </c>
      <c r="J235" s="50">
        <v>4.6003916089727001E-3</v>
      </c>
      <c r="K235" s="50">
        <v>0.12443505948225728</v>
      </c>
      <c r="L235" s="50">
        <v>0.134640474469053</v>
      </c>
      <c r="M235" s="50">
        <v>0.1104229174707724</v>
      </c>
      <c r="N235" s="50">
        <v>0.16159025087101703</v>
      </c>
      <c r="O235" s="50">
        <v>0.25003945827272384</v>
      </c>
      <c r="P235" s="50">
        <v>0.59681720753580159</v>
      </c>
      <c r="Q235" s="50">
        <v>0.84706843545548782</v>
      </c>
      <c r="R235" s="50">
        <v>1.0428948095434289</v>
      </c>
      <c r="S235" s="50">
        <v>0.96251556342555078</v>
      </c>
      <c r="T235" s="50">
        <v>1.8278508455425357</v>
      </c>
      <c r="U235" s="50">
        <v>1.7353740266950224</v>
      </c>
    </row>
    <row r="236" spans="1:21" x14ac:dyDescent="0.3">
      <c r="A236" s="66">
        <v>1.6666666666666666E-2</v>
      </c>
      <c r="B236" s="6">
        <v>1</v>
      </c>
      <c r="C236" s="6">
        <v>8.3445080548916056E-3</v>
      </c>
      <c r="D236" s="6">
        <v>1.6913316409723111E-2</v>
      </c>
      <c r="E236" s="6">
        <v>9.7575240286771489E-2</v>
      </c>
      <c r="F236" s="6">
        <v>0.4015752798246775</v>
      </c>
      <c r="G236" s="6">
        <v>0.52346208661614868</v>
      </c>
      <c r="I236" s="77">
        <v>0.6</v>
      </c>
      <c r="J236" s="50">
        <v>5.3107684824328398E-3</v>
      </c>
      <c r="K236" s="50">
        <v>6.330820662412831E-2</v>
      </c>
      <c r="L236" s="50">
        <v>0.24268709325462937</v>
      </c>
      <c r="M236" s="50">
        <v>0.20078161597520452</v>
      </c>
      <c r="N236" s="50">
        <v>0.32726656157181877</v>
      </c>
      <c r="O236" s="50">
        <v>0.46355486261340978</v>
      </c>
      <c r="P236" s="50">
        <v>0.34430443344478745</v>
      </c>
      <c r="Q236" s="50">
        <v>9.9456703649288714E-2</v>
      </c>
      <c r="R236" s="50">
        <v>0.76994198830648031</v>
      </c>
      <c r="S236" s="50">
        <v>0.95141682699828944</v>
      </c>
      <c r="T236" s="50">
        <v>1.2227953860093508</v>
      </c>
      <c r="U236" s="50">
        <v>1.2470119980961247</v>
      </c>
    </row>
    <row r="237" spans="1:21" x14ac:dyDescent="0.3">
      <c r="A237" s="66">
        <v>0.5</v>
      </c>
      <c r="B237" s="6">
        <v>30</v>
      </c>
      <c r="C237" s="6">
        <v>0.37748384490839265</v>
      </c>
      <c r="D237" s="6">
        <v>0.63655296946113316</v>
      </c>
      <c r="E237" s="6">
        <v>3.1340884997330192</v>
      </c>
      <c r="F237" s="6">
        <v>12.385327358145448</v>
      </c>
      <c r="G237" s="6">
        <v>16.370542687646353</v>
      </c>
      <c r="I237" s="77">
        <v>2.2999999999999998</v>
      </c>
      <c r="J237" s="50">
        <v>6.0721106100244254E-3</v>
      </c>
      <c r="K237" s="50">
        <v>6.8873530619038587E-2</v>
      </c>
      <c r="L237" s="50">
        <v>0.13104417131116458</v>
      </c>
      <c r="M237" s="50">
        <v>0.13808996574934518</v>
      </c>
      <c r="N237" s="50">
        <v>0.10434434431268104</v>
      </c>
      <c r="O237" s="50">
        <v>0.15699066957324548</v>
      </c>
      <c r="P237" s="50">
        <v>0.67373968368408488</v>
      </c>
      <c r="Q237" s="50"/>
      <c r="R237" s="50"/>
      <c r="S237" s="50"/>
      <c r="T237" s="50"/>
      <c r="U237" s="50"/>
    </row>
    <row r="238" spans="1:21" x14ac:dyDescent="0.3">
      <c r="A238" s="66">
        <v>1</v>
      </c>
      <c r="B238" s="6">
        <v>60</v>
      </c>
      <c r="C238" s="6">
        <v>0.85585253125966743</v>
      </c>
      <c r="D238" s="6">
        <v>1.2966755556189651</v>
      </c>
      <c r="E238" s="6">
        <v>6.2692438994515731</v>
      </c>
      <c r="F238" s="6">
        <v>24.767842781057912</v>
      </c>
      <c r="G238" s="6">
        <v>32.8472461003064</v>
      </c>
      <c r="I238" s="77">
        <v>3</v>
      </c>
      <c r="J238" s="50">
        <v>5.6005716693860175E-3</v>
      </c>
      <c r="K238" s="50">
        <v>5.6981436798134916E-2</v>
      </c>
      <c r="L238" s="50">
        <v>5.270914101299487E-2</v>
      </c>
      <c r="M238" s="50">
        <v>0.10822109305639782</v>
      </c>
      <c r="N238" s="50">
        <v>0.24999787377654309</v>
      </c>
      <c r="O238" s="50">
        <v>0.31365538383055641</v>
      </c>
      <c r="P238" s="50">
        <v>0.32481025339439507</v>
      </c>
      <c r="Q238" s="50">
        <v>0.41991303002631708</v>
      </c>
      <c r="R238" s="50">
        <v>0.79450611341133892</v>
      </c>
      <c r="S238" s="50">
        <v>1.5199756024353965</v>
      </c>
      <c r="T238" s="50"/>
      <c r="U238" s="50"/>
    </row>
    <row r="239" spans="1:21" x14ac:dyDescent="0.3">
      <c r="A239" s="66">
        <v>1.5</v>
      </c>
      <c r="B239" s="6">
        <v>90</v>
      </c>
      <c r="C239" s="6">
        <v>1.3537397101899504</v>
      </c>
      <c r="D239" s="6">
        <v>1.9624749877751155</v>
      </c>
      <c r="E239" s="6">
        <v>9.3986861489578253</v>
      </c>
      <c r="F239" s="6">
        <v>37.462330207631759</v>
      </c>
      <c r="G239" s="6">
        <v>49.492600114934405</v>
      </c>
    </row>
    <row r="240" spans="1:21" x14ac:dyDescent="0.3">
      <c r="A240" s="66">
        <v>2</v>
      </c>
      <c r="B240" s="6">
        <v>120</v>
      </c>
      <c r="C240" s="6">
        <v>1.8576542970305183</v>
      </c>
      <c r="D240" s="6">
        <v>2.6404666313901033</v>
      </c>
      <c r="E240" s="6">
        <v>12.632373101644982</v>
      </c>
      <c r="F240" s="6">
        <v>50.572056010806264</v>
      </c>
      <c r="G240" s="6">
        <v>66.491982699626931</v>
      </c>
    </row>
    <row r="241" spans="1:69" x14ac:dyDescent="0.3">
      <c r="A241" s="66">
        <v>2.5</v>
      </c>
      <c r="B241" s="6">
        <v>150</v>
      </c>
      <c r="C241" s="6">
        <v>2.3625134036491953</v>
      </c>
      <c r="D241" s="6">
        <v>3.3308174475269783</v>
      </c>
      <c r="E241" s="6">
        <v>15.900009246339962</v>
      </c>
      <c r="F241" s="6">
        <v>64.59372583652457</v>
      </c>
      <c r="G241" s="6">
        <v>83.264306765008911</v>
      </c>
    </row>
    <row r="242" spans="1:69" x14ac:dyDescent="0.3">
      <c r="A242" s="66">
        <v>3</v>
      </c>
      <c r="B242" s="6">
        <v>180</v>
      </c>
      <c r="C242" s="6">
        <v>2.966272314532012</v>
      </c>
      <c r="D242" s="6">
        <v>4.0613116551736272</v>
      </c>
      <c r="E242" s="6">
        <v>19.20129660293199</v>
      </c>
      <c r="F242" s="6">
        <v>80.116851405842709</v>
      </c>
      <c r="G242" s="6">
        <v>100.3459759336571</v>
      </c>
    </row>
    <row r="243" spans="1:69" x14ac:dyDescent="0.3">
      <c r="A243" s="66">
        <v>4</v>
      </c>
      <c r="B243" s="6">
        <v>240</v>
      </c>
      <c r="C243" s="6">
        <v>4.1470732070293366</v>
      </c>
      <c r="D243" s="6">
        <v>5.5352399646024368</v>
      </c>
      <c r="E243" s="6">
        <v>25.805744259092094</v>
      </c>
      <c r="F243" s="6"/>
      <c r="G243" s="6">
        <v>137.40135610000377</v>
      </c>
    </row>
    <row r="244" spans="1:69" x14ac:dyDescent="0.3">
      <c r="A244" s="66">
        <v>6</v>
      </c>
      <c r="B244" s="6">
        <v>360</v>
      </c>
      <c r="C244" s="6">
        <v>6.9489441581842346</v>
      </c>
      <c r="D244" s="6">
        <v>8.5422311844071395</v>
      </c>
      <c r="E244" s="6">
        <v>39.656028697666045</v>
      </c>
      <c r="F244" s="6"/>
      <c r="G244" s="6">
        <v>211.82875189819393</v>
      </c>
    </row>
    <row r="245" spans="1:69" x14ac:dyDescent="0.3">
      <c r="A245" s="66">
        <v>8</v>
      </c>
      <c r="B245" s="6">
        <v>480</v>
      </c>
      <c r="C245" s="6">
        <v>9.7678140073213413</v>
      </c>
      <c r="D245" s="6">
        <v>11.561492137488463</v>
      </c>
      <c r="E245" s="6">
        <v>53.748619681129988</v>
      </c>
      <c r="F245" s="6"/>
      <c r="G245" s="6">
        <v>300.31465348026916</v>
      </c>
    </row>
    <row r="246" spans="1:69" x14ac:dyDescent="0.3">
      <c r="A246" s="66">
        <v>10</v>
      </c>
      <c r="B246" s="6">
        <v>600</v>
      </c>
      <c r="C246" s="6">
        <v>12.574794182176337</v>
      </c>
      <c r="D246" s="6">
        <v>14.809217441677172</v>
      </c>
      <c r="E246" s="6">
        <v>67.916408748881196</v>
      </c>
      <c r="F246" s="6"/>
      <c r="G246" s="6"/>
      <c r="BL246" t="s">
        <v>283</v>
      </c>
      <c r="BQ246" t="s">
        <v>284</v>
      </c>
    </row>
    <row r="247" spans="1:69" x14ac:dyDescent="0.3">
      <c r="A247" s="66">
        <v>12</v>
      </c>
      <c r="B247" s="6">
        <v>720</v>
      </c>
      <c r="C247" s="6">
        <v>16.378037001333457</v>
      </c>
      <c r="D247" s="6">
        <v>18.307476438150633</v>
      </c>
      <c r="E247" s="6">
        <v>82.227379110899761</v>
      </c>
      <c r="F247" s="6"/>
      <c r="G247" s="6"/>
      <c r="AZ247" t="s">
        <v>283</v>
      </c>
    </row>
    <row r="308" spans="1:11" x14ac:dyDescent="0.3">
      <c r="A308" s="14" t="s">
        <v>219</v>
      </c>
      <c r="B308" s="6"/>
      <c r="C308" s="5" t="s">
        <v>117</v>
      </c>
      <c r="D308" s="6"/>
      <c r="E308" s="5" t="s">
        <v>216</v>
      </c>
      <c r="F308" s="6"/>
      <c r="J308">
        <v>2.2999999999999998</v>
      </c>
      <c r="K308">
        <v>3</v>
      </c>
    </row>
    <row r="309" spans="1:11" x14ac:dyDescent="0.3">
      <c r="A309" s="6"/>
      <c r="B309" s="6"/>
      <c r="C309" s="6" t="s">
        <v>92</v>
      </c>
      <c r="D309" s="6"/>
      <c r="E309" s="6"/>
      <c r="F309" s="6"/>
      <c r="I309" t="s">
        <v>106</v>
      </c>
      <c r="J309" t="s">
        <v>105</v>
      </c>
      <c r="K309" t="s">
        <v>208</v>
      </c>
    </row>
    <row r="310" spans="1:11" x14ac:dyDescent="0.3">
      <c r="A310" s="6" t="s">
        <v>2</v>
      </c>
      <c r="B310" s="6"/>
      <c r="C310" s="6" t="s">
        <v>236</v>
      </c>
      <c r="D310" s="6" t="s">
        <v>235</v>
      </c>
      <c r="E310" s="6" t="s">
        <v>233</v>
      </c>
      <c r="F310" s="6" t="s">
        <v>234</v>
      </c>
      <c r="I310">
        <v>1</v>
      </c>
      <c r="J310">
        <v>4.637527449518597E-2</v>
      </c>
      <c r="K310">
        <v>6.9279359161352819E-2</v>
      </c>
    </row>
    <row r="311" spans="1:11" x14ac:dyDescent="0.3">
      <c r="A311" s="6" t="s">
        <v>79</v>
      </c>
      <c r="B311" s="6" t="s">
        <v>106</v>
      </c>
      <c r="C311" s="6" t="s">
        <v>232</v>
      </c>
      <c r="D311" s="6" t="s">
        <v>208</v>
      </c>
      <c r="E311" s="6" t="s">
        <v>208</v>
      </c>
      <c r="F311" s="6" t="s">
        <v>208</v>
      </c>
      <c r="I311">
        <v>10</v>
      </c>
      <c r="J311">
        <v>0.45268618362218432</v>
      </c>
      <c r="K311">
        <v>0.56867026601837067</v>
      </c>
    </row>
    <row r="312" spans="1:11" x14ac:dyDescent="0.3">
      <c r="A312" s="66">
        <f>B312/60</f>
        <v>1.6666666666666666E-2</v>
      </c>
      <c r="B312" s="6">
        <v>1</v>
      </c>
      <c r="C312" s="6">
        <v>4.637527449518597E-2</v>
      </c>
      <c r="D312" s="6">
        <v>6.9279359161352819E-2</v>
      </c>
      <c r="E312" s="6">
        <v>4.2611083001830322E-2</v>
      </c>
      <c r="F312" s="6">
        <v>5.5544470842055327E-2</v>
      </c>
      <c r="I312">
        <v>30</v>
      </c>
      <c r="J312">
        <v>1.1694003889342961</v>
      </c>
      <c r="K312">
        <v>1.5367039913909548</v>
      </c>
    </row>
    <row r="313" spans="1:11" x14ac:dyDescent="0.3">
      <c r="A313" s="66">
        <f t="shared" ref="A313:A328" si="247">B313/60</f>
        <v>0.5</v>
      </c>
      <c r="B313" s="6">
        <v>30</v>
      </c>
      <c r="C313" s="6">
        <v>1.1694003889342961</v>
      </c>
      <c r="D313" s="6">
        <v>1.5367039913909548</v>
      </c>
      <c r="E313" s="6">
        <v>1.3142049288820399</v>
      </c>
      <c r="F313" s="6">
        <v>1.7370754334102776</v>
      </c>
      <c r="I313">
        <v>60</v>
      </c>
      <c r="J313">
        <v>1.925435850490447</v>
      </c>
      <c r="K313">
        <v>2.5395471990628757</v>
      </c>
    </row>
    <row r="314" spans="1:11" x14ac:dyDescent="0.3">
      <c r="A314" s="66">
        <f t="shared" si="247"/>
        <v>1</v>
      </c>
      <c r="B314" s="6">
        <f>30+B313</f>
        <v>60</v>
      </c>
      <c r="C314" s="6">
        <v>1.925435850490447</v>
      </c>
      <c r="D314" s="6">
        <v>2.5395471990628757</v>
      </c>
      <c r="E314" s="6">
        <v>2.6281114838062485</v>
      </c>
      <c r="F314" s="6">
        <v>3.4854155628622738</v>
      </c>
      <c r="I314">
        <v>90</v>
      </c>
      <c r="J314">
        <v>2.5061168782292071</v>
      </c>
      <c r="K314">
        <v>3.2979534744469068</v>
      </c>
    </row>
    <row r="315" spans="1:11" x14ac:dyDescent="0.3">
      <c r="A315" s="66">
        <f t="shared" si="247"/>
        <v>1.5</v>
      </c>
      <c r="B315" s="6">
        <f t="shared" ref="B315:B328" si="248">30+B314</f>
        <v>90</v>
      </c>
      <c r="C315" s="6">
        <v>2.5061168782292071</v>
      </c>
      <c r="D315" s="6">
        <v>3.2979534744469068</v>
      </c>
      <c r="E315" s="6">
        <v>3.9751213337043558</v>
      </c>
      <c r="F315" s="6">
        <v>5.2516511783160542</v>
      </c>
      <c r="I315">
        <v>120</v>
      </c>
      <c r="J315">
        <v>2.9791729416768145</v>
      </c>
      <c r="K315">
        <v>3.8707165168497548</v>
      </c>
    </row>
    <row r="316" spans="1:11" x14ac:dyDescent="0.3">
      <c r="A316" s="66">
        <f t="shared" si="247"/>
        <v>2</v>
      </c>
      <c r="B316" s="6">
        <f t="shared" si="248"/>
        <v>120</v>
      </c>
      <c r="C316" s="6">
        <v>2.9791729416768145</v>
      </c>
      <c r="D316" s="6">
        <v>3.8707165168497548</v>
      </c>
      <c r="E316" s="6">
        <v>5.3661920554235598</v>
      </c>
      <c r="F316" s="6">
        <v>7.0554527036799888</v>
      </c>
      <c r="I316">
        <v>240</v>
      </c>
      <c r="J316">
        <v>3.927159462359759</v>
      </c>
      <c r="K316">
        <v>5.6106486113910146</v>
      </c>
    </row>
    <row r="317" spans="1:11" x14ac:dyDescent="0.3">
      <c r="A317" s="66">
        <f t="shared" si="247"/>
        <v>2.5</v>
      </c>
      <c r="B317" s="6">
        <f t="shared" si="248"/>
        <v>150</v>
      </c>
      <c r="C317" s="14">
        <v>3.1</v>
      </c>
      <c r="D317" s="14">
        <v>4.2</v>
      </c>
      <c r="E317" s="6">
        <v>6.8540289985461396</v>
      </c>
      <c r="F317" s="6">
        <v>8.8351610891055312</v>
      </c>
      <c r="I317">
        <v>360</v>
      </c>
      <c r="J317">
        <v>4.8038411248018402</v>
      </c>
    </row>
    <row r="318" spans="1:11" x14ac:dyDescent="0.3">
      <c r="A318" s="66">
        <f t="shared" si="247"/>
        <v>3</v>
      </c>
      <c r="B318" s="6">
        <f t="shared" si="248"/>
        <v>180</v>
      </c>
      <c r="C318" s="14">
        <v>3.4</v>
      </c>
      <c r="D318" s="14">
        <v>4.8</v>
      </c>
      <c r="E318" s="6">
        <v>8.501185149121028</v>
      </c>
      <c r="F318" s="6">
        <v>10.647694029561556</v>
      </c>
      <c r="I318">
        <v>1080</v>
      </c>
      <c r="J318">
        <v>7.4306226052158841</v>
      </c>
    </row>
    <row r="319" spans="1:11" x14ac:dyDescent="0.3">
      <c r="A319" s="66">
        <f t="shared" si="247"/>
        <v>3.5</v>
      </c>
      <c r="B319" s="6">
        <f t="shared" si="248"/>
        <v>210</v>
      </c>
      <c r="C319" s="14"/>
      <c r="D319" s="14">
        <v>5.3</v>
      </c>
      <c r="E319" s="6"/>
      <c r="F319" s="6">
        <v>12.61168990200464</v>
      </c>
      <c r="I319">
        <v>1320</v>
      </c>
      <c r="J319">
        <v>7.907354349135141</v>
      </c>
    </row>
    <row r="320" spans="1:11" x14ac:dyDescent="0.3">
      <c r="A320" s="66">
        <f t="shared" si="247"/>
        <v>4</v>
      </c>
      <c r="B320" s="6">
        <f t="shared" si="248"/>
        <v>240</v>
      </c>
      <c r="C320" s="6"/>
      <c r="D320" s="6">
        <v>5.6106486113910146</v>
      </c>
      <c r="E320" s="6"/>
      <c r="F320" s="6">
        <v>14.579633965261616</v>
      </c>
      <c r="I320">
        <v>1560</v>
      </c>
      <c r="J320">
        <v>8.4471825008142289</v>
      </c>
    </row>
    <row r="321" spans="1:14" x14ac:dyDescent="0.3">
      <c r="A321" s="66">
        <f t="shared" si="247"/>
        <v>4.5</v>
      </c>
      <c r="B321" s="6">
        <f t="shared" si="248"/>
        <v>270</v>
      </c>
      <c r="C321" s="6"/>
      <c r="D321" s="6"/>
      <c r="E321" s="6"/>
      <c r="F321" s="6">
        <v>16.550814902128884</v>
      </c>
      <c r="I321">
        <v>1800</v>
      </c>
      <c r="J321">
        <v>9.0819496941499462</v>
      </c>
    </row>
    <row r="322" spans="1:14" x14ac:dyDescent="0.3">
      <c r="A322" s="66">
        <f t="shared" si="247"/>
        <v>5</v>
      </c>
      <c r="B322" s="6">
        <f t="shared" si="248"/>
        <v>300</v>
      </c>
      <c r="C322" s="6"/>
      <c r="D322" s="6"/>
      <c r="E322" s="6"/>
      <c r="F322" s="6">
        <v>18.526809818364153</v>
      </c>
      <c r="I322">
        <v>2520</v>
      </c>
      <c r="J322">
        <v>10.524996170430185</v>
      </c>
    </row>
    <row r="323" spans="1:14" x14ac:dyDescent="0.3">
      <c r="A323" s="66">
        <f t="shared" si="247"/>
        <v>5.5</v>
      </c>
      <c r="B323" s="6">
        <f t="shared" si="248"/>
        <v>330</v>
      </c>
      <c r="C323" s="6"/>
      <c r="D323" s="6"/>
      <c r="E323" s="6"/>
      <c r="F323" s="6">
        <v>20.506695657866722</v>
      </c>
      <c r="I323">
        <v>2760</v>
      </c>
      <c r="J323">
        <v>10.93880993275976</v>
      </c>
    </row>
    <row r="324" spans="1:14" x14ac:dyDescent="0.3">
      <c r="A324" s="66">
        <f t="shared" si="247"/>
        <v>6</v>
      </c>
      <c r="B324" s="6">
        <f t="shared" si="248"/>
        <v>360</v>
      </c>
      <c r="C324" s="6"/>
      <c r="D324" s="6"/>
      <c r="E324" s="6"/>
      <c r="F324" s="6">
        <v>22.477111970758774</v>
      </c>
      <c r="I324">
        <v>3000</v>
      </c>
      <c r="J324">
        <v>11.17309039080315</v>
      </c>
    </row>
    <row r="325" spans="1:14" x14ac:dyDescent="0.3">
      <c r="A325" s="66">
        <f t="shared" si="247"/>
        <v>6.5</v>
      </c>
      <c r="B325" s="6">
        <f t="shared" si="248"/>
        <v>390</v>
      </c>
      <c r="C325" s="6"/>
      <c r="D325" s="6"/>
      <c r="E325" s="6"/>
      <c r="F325" s="6">
        <v>24.626220670625738</v>
      </c>
      <c r="I325">
        <v>3240</v>
      </c>
      <c r="J325">
        <v>11.244551191859893</v>
      </c>
    </row>
    <row r="326" spans="1:14" x14ac:dyDescent="0.3">
      <c r="A326" s="66">
        <f t="shared" si="247"/>
        <v>7</v>
      </c>
      <c r="B326" s="6">
        <f t="shared" si="248"/>
        <v>420</v>
      </c>
      <c r="C326" s="6"/>
      <c r="D326" s="6"/>
      <c r="E326" s="6"/>
      <c r="F326" s="6">
        <v>26.728933493268993</v>
      </c>
      <c r="I326">
        <v>3900</v>
      </c>
      <c r="J326">
        <v>11.575874745844754</v>
      </c>
    </row>
    <row r="327" spans="1:14" x14ac:dyDescent="0.3">
      <c r="A327" s="66">
        <f t="shared" si="247"/>
        <v>7.5</v>
      </c>
      <c r="B327" s="6">
        <f t="shared" si="248"/>
        <v>450</v>
      </c>
      <c r="C327" s="6"/>
      <c r="D327" s="6"/>
      <c r="E327" s="6"/>
      <c r="F327" s="6">
        <v>28.952628152829703</v>
      </c>
    </row>
    <row r="328" spans="1:14" x14ac:dyDescent="0.3">
      <c r="A328" s="66">
        <f t="shared" si="247"/>
        <v>8</v>
      </c>
      <c r="B328" s="6">
        <f t="shared" si="248"/>
        <v>480</v>
      </c>
      <c r="C328" s="6"/>
      <c r="D328" s="6"/>
      <c r="E328" s="6"/>
      <c r="F328" s="6">
        <v>31.866335576484058</v>
      </c>
    </row>
    <row r="332" spans="1:14" x14ac:dyDescent="0.3">
      <c r="A332" s="84" t="s">
        <v>239</v>
      </c>
      <c r="B332" s="85"/>
    </row>
    <row r="333" spans="1:14" x14ac:dyDescent="0.3">
      <c r="A333" s="83" t="s">
        <v>51</v>
      </c>
      <c r="H333" s="12" t="s">
        <v>70</v>
      </c>
    </row>
    <row r="334" spans="1:14" ht="16.2" x14ac:dyDescent="0.3">
      <c r="A334" s="5" t="s">
        <v>217</v>
      </c>
      <c r="B334" s="6"/>
      <c r="C334" s="6"/>
      <c r="D334" s="6" t="s">
        <v>55</v>
      </c>
      <c r="E334" s="6"/>
      <c r="F334" s="5" t="s">
        <v>53</v>
      </c>
      <c r="G334" s="5" t="s">
        <v>240</v>
      </c>
      <c r="H334" s="5" t="s">
        <v>217</v>
      </c>
      <c r="I334" s="6"/>
      <c r="J334" s="6"/>
      <c r="K334" s="6" t="s">
        <v>55</v>
      </c>
      <c r="L334" s="6"/>
      <c r="M334" s="5" t="s">
        <v>53</v>
      </c>
      <c r="N334" s="5" t="s">
        <v>240</v>
      </c>
    </row>
    <row r="335" spans="1:14" x14ac:dyDescent="0.3">
      <c r="A335" s="67">
        <f t="shared" ref="A335:A351" si="249">D135*(10^-3)*$B$35*I135/($L$26)</f>
        <v>121443.2040949465</v>
      </c>
      <c r="B335" s="6"/>
      <c r="C335" s="6">
        <f>D335/60</f>
        <v>1.6666666666666666E-2</v>
      </c>
      <c r="D335" s="6">
        <v>1</v>
      </c>
      <c r="E335" s="6"/>
      <c r="F335" s="67">
        <f>A335/2.32</f>
        <v>52346.208661614874</v>
      </c>
      <c r="G335" s="8">
        <f>F335/100000</f>
        <v>0.52346208661614868</v>
      </c>
      <c r="H335" s="67">
        <f t="shared" ref="H335:H341" si="250">BU135*(10^-3)*$BS$35*BZ135/($CC$26)</f>
        <v>93165.464919325168</v>
      </c>
      <c r="I335" s="6"/>
      <c r="J335" s="6">
        <f>K335/60</f>
        <v>1.6666666666666666E-2</v>
      </c>
      <c r="K335" s="6">
        <v>1</v>
      </c>
      <c r="L335" s="6"/>
      <c r="M335" s="67">
        <f>H335/2.32</f>
        <v>40157.527982467749</v>
      </c>
      <c r="N335" s="8">
        <f>M335/100000</f>
        <v>0.4015752798246775</v>
      </c>
    </row>
    <row r="336" spans="1:14" x14ac:dyDescent="0.3">
      <c r="A336" s="67">
        <f t="shared" si="249"/>
        <v>3676522.6994390073</v>
      </c>
      <c r="B336" s="6"/>
      <c r="C336" s="6">
        <f t="shared" ref="C336:C351" si="251">D336/60</f>
        <v>0.5</v>
      </c>
      <c r="D336" s="6">
        <v>30</v>
      </c>
      <c r="E336" s="6"/>
      <c r="F336" s="67">
        <f t="shared" ref="F336:F351" si="252">A336/2.32</f>
        <v>1584708.0601030204</v>
      </c>
      <c r="G336" s="8">
        <f t="shared" ref="G336:G351" si="253">F336/100000</f>
        <v>15.847080601030203</v>
      </c>
      <c r="H336" s="67">
        <f t="shared" si="250"/>
        <v>2780230.4821704188</v>
      </c>
      <c r="I336" s="6"/>
      <c r="J336" s="6">
        <f t="shared" ref="J336:J341" si="254">K336/60</f>
        <v>0.5</v>
      </c>
      <c r="K336" s="6">
        <v>30</v>
      </c>
      <c r="L336" s="6"/>
      <c r="M336" s="67">
        <f t="shared" ref="M336:M341" si="255">H336/2.32</f>
        <v>1198375.2078320771</v>
      </c>
      <c r="N336" s="8">
        <f t="shared" ref="N336:N341" si="256">M336/100000</f>
        <v>11.983752078320771</v>
      </c>
    </row>
    <row r="337" spans="1:14" x14ac:dyDescent="0.3">
      <c r="A337" s="67">
        <f t="shared" si="249"/>
        <v>3822595.1917371303</v>
      </c>
      <c r="B337" s="6"/>
      <c r="C337" s="6">
        <f t="shared" si="251"/>
        <v>1</v>
      </c>
      <c r="D337" s="6">
        <f>D336+30</f>
        <v>60</v>
      </c>
      <c r="E337" s="6"/>
      <c r="F337" s="67">
        <f t="shared" si="252"/>
        <v>1647670.3412660046</v>
      </c>
      <c r="G337" s="8">
        <f t="shared" si="253"/>
        <v>16.476703412660047</v>
      </c>
      <c r="H337" s="67">
        <f t="shared" si="250"/>
        <v>2872743.5781156919</v>
      </c>
      <c r="I337" s="6"/>
      <c r="J337" s="6">
        <f t="shared" si="254"/>
        <v>1</v>
      </c>
      <c r="K337" s="6">
        <f>K336+30</f>
        <v>60</v>
      </c>
      <c r="L337" s="6"/>
      <c r="M337" s="67">
        <f t="shared" si="255"/>
        <v>1238251.5422912466</v>
      </c>
      <c r="N337" s="8">
        <f t="shared" si="256"/>
        <v>12.382515422912466</v>
      </c>
    </row>
    <row r="338" spans="1:14" x14ac:dyDescent="0.3">
      <c r="A338" s="67">
        <f t="shared" si="249"/>
        <v>3861722.131393698</v>
      </c>
      <c r="B338" s="6"/>
      <c r="C338" s="6">
        <f t="shared" si="251"/>
        <v>1.5</v>
      </c>
      <c r="D338" s="6">
        <f t="shared" ref="D338:D351" si="257">D337+30</f>
        <v>90</v>
      </c>
      <c r="E338" s="6"/>
      <c r="F338" s="67">
        <f t="shared" si="252"/>
        <v>1664535.401462801</v>
      </c>
      <c r="G338" s="8">
        <f t="shared" si="253"/>
        <v>16.645354014628012</v>
      </c>
      <c r="H338" s="67">
        <f t="shared" si="250"/>
        <v>2945121.0829651323</v>
      </c>
      <c r="I338" s="6"/>
      <c r="J338" s="6">
        <f t="shared" si="254"/>
        <v>1.5</v>
      </c>
      <c r="K338" s="6">
        <f>K337+30</f>
        <v>90</v>
      </c>
      <c r="L338" s="6"/>
      <c r="M338" s="67">
        <f t="shared" si="255"/>
        <v>1269448.7426573846</v>
      </c>
      <c r="N338" s="8">
        <f t="shared" si="256"/>
        <v>12.694487426573845</v>
      </c>
    </row>
    <row r="339" spans="1:14" x14ac:dyDescent="0.3">
      <c r="A339" s="67">
        <f t="shared" si="249"/>
        <v>3943856.7596486658</v>
      </c>
      <c r="B339" s="6"/>
      <c r="C339" s="6">
        <f t="shared" si="251"/>
        <v>2</v>
      </c>
      <c r="D339" s="6">
        <f t="shared" si="257"/>
        <v>120</v>
      </c>
      <c r="E339" s="6"/>
      <c r="F339" s="67">
        <f t="shared" si="252"/>
        <v>1699938.2584692526</v>
      </c>
      <c r="G339" s="8">
        <f t="shared" si="253"/>
        <v>16.999382584692526</v>
      </c>
      <c r="H339" s="67">
        <f t="shared" si="250"/>
        <v>3041456.386336484</v>
      </c>
      <c r="I339" s="6"/>
      <c r="J339" s="6">
        <f t="shared" si="254"/>
        <v>2</v>
      </c>
      <c r="K339" s="6">
        <f>K338+30</f>
        <v>120</v>
      </c>
      <c r="L339" s="6"/>
      <c r="M339" s="67">
        <f t="shared" si="255"/>
        <v>1310972.58031745</v>
      </c>
      <c r="N339" s="8">
        <f t="shared" si="256"/>
        <v>13.1097258031745</v>
      </c>
    </row>
    <row r="340" spans="1:14" x14ac:dyDescent="0.3">
      <c r="A340" s="67">
        <f t="shared" si="249"/>
        <v>3891179.1831686147</v>
      </c>
      <c r="B340" s="6"/>
      <c r="C340" s="6">
        <f t="shared" si="251"/>
        <v>2.5</v>
      </c>
      <c r="D340" s="6">
        <f t="shared" si="257"/>
        <v>150</v>
      </c>
      <c r="E340" s="6"/>
      <c r="F340" s="67">
        <f t="shared" si="252"/>
        <v>1677232.4065381961</v>
      </c>
      <c r="G340" s="8">
        <f t="shared" si="253"/>
        <v>16.772324065381962</v>
      </c>
      <c r="H340" s="67">
        <f t="shared" si="250"/>
        <v>3253027.3995666481</v>
      </c>
      <c r="I340" s="6"/>
      <c r="J340" s="6">
        <f t="shared" si="254"/>
        <v>2.5</v>
      </c>
      <c r="K340" s="6">
        <f>K339+30</f>
        <v>150</v>
      </c>
      <c r="L340" s="6"/>
      <c r="M340" s="67">
        <f t="shared" si="255"/>
        <v>1402166.9825718312</v>
      </c>
      <c r="N340" s="8">
        <f t="shared" si="256"/>
        <v>14.021669825718313</v>
      </c>
    </row>
    <row r="341" spans="1:14" x14ac:dyDescent="0.3">
      <c r="A341" s="67">
        <f t="shared" si="249"/>
        <v>3962947.2471263804</v>
      </c>
      <c r="B341" s="6"/>
      <c r="C341" s="6">
        <f t="shared" si="251"/>
        <v>3</v>
      </c>
      <c r="D341" s="6">
        <f t="shared" si="257"/>
        <v>180</v>
      </c>
      <c r="E341" s="6"/>
      <c r="F341" s="67">
        <f t="shared" si="252"/>
        <v>1708166.9168648194</v>
      </c>
      <c r="G341" s="8">
        <f t="shared" si="253"/>
        <v>17.081669168648194</v>
      </c>
      <c r="H341" s="67">
        <f t="shared" si="250"/>
        <v>3601365.1320818034</v>
      </c>
      <c r="I341" s="6"/>
      <c r="J341" s="6">
        <f t="shared" si="254"/>
        <v>3</v>
      </c>
      <c r="K341" s="6">
        <f>K340+30</f>
        <v>180</v>
      </c>
      <c r="L341" s="6"/>
      <c r="M341" s="67">
        <f t="shared" si="255"/>
        <v>1552312.5569318119</v>
      </c>
      <c r="N341" s="8">
        <f t="shared" si="256"/>
        <v>15.523125569318118</v>
      </c>
    </row>
    <row r="342" spans="1:14" x14ac:dyDescent="0.3">
      <c r="A342" s="67">
        <f t="shared" si="249"/>
        <v>4294107.9096237915</v>
      </c>
      <c r="B342" s="6"/>
      <c r="C342" s="6">
        <f t="shared" si="251"/>
        <v>3.5</v>
      </c>
      <c r="D342" s="6">
        <f t="shared" si="257"/>
        <v>210</v>
      </c>
      <c r="E342" s="6"/>
      <c r="F342" s="67">
        <f t="shared" si="252"/>
        <v>1850908.581734393</v>
      </c>
      <c r="G342" s="8">
        <f t="shared" si="253"/>
        <v>18.50908581734393</v>
      </c>
      <c r="H342" s="67"/>
      <c r="I342" s="6"/>
      <c r="J342" s="6"/>
      <c r="K342" s="6"/>
      <c r="L342" s="6"/>
      <c r="M342" s="6"/>
      <c r="N342" s="6"/>
    </row>
    <row r="343" spans="1:14" x14ac:dyDescent="0.3">
      <c r="A343" s="67">
        <f t="shared" si="249"/>
        <v>4302740.2889686376</v>
      </c>
      <c r="B343" s="6"/>
      <c r="C343" s="6">
        <f t="shared" si="251"/>
        <v>4</v>
      </c>
      <c r="D343" s="6">
        <f t="shared" si="257"/>
        <v>240</v>
      </c>
      <c r="E343" s="6"/>
      <c r="F343" s="67">
        <f t="shared" si="252"/>
        <v>1854629.434900275</v>
      </c>
      <c r="G343" s="8">
        <f t="shared" si="253"/>
        <v>18.54629434900275</v>
      </c>
      <c r="H343" s="67"/>
      <c r="I343" s="6"/>
      <c r="J343" s="6"/>
      <c r="K343" s="6"/>
      <c r="L343" s="6"/>
      <c r="M343" s="6"/>
      <c r="N343" s="6"/>
    </row>
    <row r="344" spans="1:14" x14ac:dyDescent="0.3">
      <c r="A344" s="67">
        <f t="shared" si="249"/>
        <v>4309817.434479706</v>
      </c>
      <c r="B344" s="6"/>
      <c r="C344" s="6">
        <f t="shared" si="251"/>
        <v>4.5</v>
      </c>
      <c r="D344" s="6">
        <f t="shared" si="257"/>
        <v>270</v>
      </c>
      <c r="E344" s="6"/>
      <c r="F344" s="67">
        <f t="shared" si="252"/>
        <v>1857679.9286550458</v>
      </c>
      <c r="G344" s="8">
        <f t="shared" si="253"/>
        <v>18.576799286550457</v>
      </c>
      <c r="H344" s="67"/>
      <c r="I344" s="6"/>
      <c r="J344" s="6"/>
      <c r="K344" s="6"/>
      <c r="L344" s="6"/>
      <c r="M344" s="6"/>
      <c r="N344" s="6"/>
    </row>
    <row r="345" spans="1:14" x14ac:dyDescent="0.3">
      <c r="A345" s="67">
        <f t="shared" si="249"/>
        <v>4320342.78596895</v>
      </c>
      <c r="B345" s="6"/>
      <c r="C345" s="6">
        <f t="shared" si="251"/>
        <v>5</v>
      </c>
      <c r="D345" s="6">
        <f t="shared" si="257"/>
        <v>300</v>
      </c>
      <c r="E345" s="6"/>
      <c r="F345" s="67">
        <f t="shared" si="252"/>
        <v>1862216.7180900648</v>
      </c>
      <c r="G345" s="8">
        <f t="shared" si="253"/>
        <v>18.622167180900647</v>
      </c>
      <c r="H345" s="67"/>
      <c r="I345" s="6"/>
      <c r="J345" s="6"/>
      <c r="K345" s="6"/>
      <c r="L345" s="6"/>
      <c r="M345" s="6"/>
      <c r="N345" s="6"/>
    </row>
    <row r="346" spans="1:14" x14ac:dyDescent="0.3">
      <c r="A346" s="67">
        <f t="shared" si="249"/>
        <v>4328849.9547528978</v>
      </c>
      <c r="B346" s="6"/>
      <c r="C346" s="6">
        <f t="shared" si="251"/>
        <v>5.5</v>
      </c>
      <c r="D346" s="6">
        <f t="shared" si="257"/>
        <v>330</v>
      </c>
      <c r="E346" s="6"/>
      <c r="F346" s="67">
        <f t="shared" si="252"/>
        <v>1865883.601186594</v>
      </c>
      <c r="G346" s="8">
        <f t="shared" si="253"/>
        <v>18.65883601186594</v>
      </c>
      <c r="H346" s="67"/>
      <c r="I346" s="6"/>
      <c r="J346" s="6"/>
      <c r="K346" s="6"/>
      <c r="L346" s="6"/>
      <c r="M346" s="6"/>
      <c r="N346" s="6"/>
    </row>
    <row r="347" spans="1:14" x14ac:dyDescent="0.3">
      <c r="A347" s="67">
        <f t="shared" si="249"/>
        <v>4308145.6499785539</v>
      </c>
      <c r="B347" s="6"/>
      <c r="C347" s="6">
        <f t="shared" si="251"/>
        <v>6</v>
      </c>
      <c r="D347" s="6">
        <f t="shared" si="257"/>
        <v>360</v>
      </c>
      <c r="E347" s="6"/>
      <c r="F347" s="67">
        <f t="shared" si="252"/>
        <v>1856959.3318873078</v>
      </c>
      <c r="G347" s="8">
        <f t="shared" si="253"/>
        <v>18.569593318873078</v>
      </c>
      <c r="H347" s="67"/>
      <c r="I347" s="6"/>
      <c r="J347" s="6"/>
      <c r="K347" s="6"/>
      <c r="L347" s="6"/>
      <c r="M347" s="6"/>
      <c r="N347" s="6"/>
    </row>
    <row r="348" spans="1:14" x14ac:dyDescent="0.3">
      <c r="A348" s="67">
        <f t="shared" si="249"/>
        <v>4698841.1718301596</v>
      </c>
      <c r="B348" s="6"/>
      <c r="C348" s="6">
        <f t="shared" si="251"/>
        <v>6.5</v>
      </c>
      <c r="D348" s="6">
        <f t="shared" si="257"/>
        <v>390</v>
      </c>
      <c r="E348" s="6"/>
      <c r="F348" s="67">
        <f t="shared" si="252"/>
        <v>2025362.5740647241</v>
      </c>
      <c r="G348" s="8">
        <f t="shared" si="253"/>
        <v>20.253625740647241</v>
      </c>
      <c r="H348" s="67"/>
      <c r="I348" s="6"/>
      <c r="J348" s="6"/>
      <c r="K348" s="6"/>
      <c r="L348" s="6"/>
      <c r="M348" s="6"/>
      <c r="N348" s="6"/>
    </row>
    <row r="349" spans="1:14" x14ac:dyDescent="0.3">
      <c r="A349" s="67">
        <f t="shared" si="249"/>
        <v>4597400.5801488422</v>
      </c>
      <c r="B349" s="6"/>
      <c r="C349" s="6">
        <f t="shared" si="251"/>
        <v>7</v>
      </c>
      <c r="D349" s="6">
        <f t="shared" si="257"/>
        <v>420</v>
      </c>
      <c r="E349" s="6"/>
      <c r="F349" s="67">
        <f t="shared" si="252"/>
        <v>1981638.181098639</v>
      </c>
      <c r="G349" s="8">
        <f t="shared" si="253"/>
        <v>19.816381810986389</v>
      </c>
      <c r="H349" s="67"/>
      <c r="I349" s="6"/>
      <c r="J349" s="6"/>
      <c r="K349" s="6"/>
      <c r="L349" s="6"/>
      <c r="M349" s="6"/>
      <c r="N349" s="6"/>
    </row>
    <row r="350" spans="1:14" x14ac:dyDescent="0.3">
      <c r="A350" s="67">
        <f t="shared" si="249"/>
        <v>4861916.9521623123</v>
      </c>
      <c r="B350" s="6"/>
      <c r="C350" s="6">
        <f t="shared" si="251"/>
        <v>7.5</v>
      </c>
      <c r="D350" s="6">
        <f t="shared" si="257"/>
        <v>450</v>
      </c>
      <c r="E350" s="6"/>
      <c r="F350" s="67">
        <f t="shared" si="252"/>
        <v>2095653.8586906521</v>
      </c>
      <c r="G350" s="8">
        <f t="shared" si="253"/>
        <v>20.956538586906522</v>
      </c>
      <c r="H350" s="67"/>
      <c r="I350" s="6"/>
      <c r="J350" s="6"/>
      <c r="K350" s="6"/>
      <c r="L350" s="6"/>
      <c r="M350" s="6"/>
      <c r="N350" s="6"/>
    </row>
    <row r="351" spans="1:14" x14ac:dyDescent="0.3">
      <c r="A351" s="67">
        <f t="shared" si="249"/>
        <v>6370570.4629001478</v>
      </c>
      <c r="B351" s="6"/>
      <c r="C351" s="6">
        <f t="shared" si="251"/>
        <v>8</v>
      </c>
      <c r="D351" s="6">
        <f t="shared" si="257"/>
        <v>480</v>
      </c>
      <c r="E351" s="6"/>
      <c r="F351" s="67">
        <f t="shared" si="252"/>
        <v>2745935.5443535121</v>
      </c>
      <c r="G351" s="8">
        <f t="shared" si="253"/>
        <v>27.45935544353512</v>
      </c>
      <c r="H351" s="67"/>
      <c r="I351" s="6"/>
      <c r="J351" s="6"/>
      <c r="K351" s="6"/>
      <c r="L351" s="6"/>
      <c r="M351" s="6"/>
      <c r="N351" s="6"/>
    </row>
    <row r="352" spans="1:14" x14ac:dyDescent="0.3">
      <c r="A352" s="4"/>
    </row>
    <row r="353" spans="1:8" x14ac:dyDescent="0.3">
      <c r="A353" s="4"/>
    </row>
    <row r="354" spans="1:8" x14ac:dyDescent="0.3">
      <c r="A354" s="5" t="s">
        <v>240</v>
      </c>
    </row>
    <row r="355" spans="1:8" x14ac:dyDescent="0.3">
      <c r="A355" t="s">
        <v>171</v>
      </c>
      <c r="F355" t="s">
        <v>241</v>
      </c>
    </row>
    <row r="356" spans="1:8" x14ac:dyDescent="0.3">
      <c r="A356" s="4" t="s">
        <v>147</v>
      </c>
      <c r="B356" t="s">
        <v>69</v>
      </c>
      <c r="C356" t="s">
        <v>242</v>
      </c>
      <c r="F356" t="s">
        <v>147</v>
      </c>
      <c r="G356" t="s">
        <v>69</v>
      </c>
      <c r="H356" t="s">
        <v>242</v>
      </c>
    </row>
    <row r="357" spans="1:8" x14ac:dyDescent="0.3">
      <c r="A357">
        <v>0.52346208661614868</v>
      </c>
      <c r="B357">
        <v>0.4015752798246775</v>
      </c>
      <c r="C357">
        <v>1.6666666666666666E-2</v>
      </c>
      <c r="F357">
        <v>0.65242586348300269</v>
      </c>
      <c r="G357">
        <v>0.43673077916779263</v>
      </c>
      <c r="H357">
        <v>1.6666666666666666E-2</v>
      </c>
    </row>
    <row r="358" spans="1:8" x14ac:dyDescent="0.3">
      <c r="A358">
        <v>15.847080601030203</v>
      </c>
      <c r="B358">
        <v>11.983752078320771</v>
      </c>
      <c r="C358">
        <v>0.5</v>
      </c>
      <c r="F358">
        <v>5.3553496140176993</v>
      </c>
      <c r="G358">
        <v>4.2630904473101001</v>
      </c>
      <c r="H358">
        <v>0.16666666666666666</v>
      </c>
    </row>
    <row r="359" spans="1:8" x14ac:dyDescent="0.3">
      <c r="A359">
        <v>16.476703412660047</v>
      </c>
      <c r="B359">
        <v>12.382515422912466</v>
      </c>
      <c r="C359">
        <v>1</v>
      </c>
      <c r="F359">
        <v>14.47163254160567</v>
      </c>
      <c r="G359">
        <v>11.012617145186065</v>
      </c>
      <c r="H359">
        <v>0.5</v>
      </c>
    </row>
    <row r="360" spans="1:8" x14ac:dyDescent="0.3">
      <c r="A360">
        <v>16.645354014628012</v>
      </c>
      <c r="B360">
        <v>12.694487426573845</v>
      </c>
      <c r="C360">
        <v>1.5</v>
      </c>
      <c r="F360">
        <v>23.915727487397323</v>
      </c>
      <c r="G360">
        <v>18.132444678243026</v>
      </c>
      <c r="H360">
        <v>1</v>
      </c>
    </row>
    <row r="361" spans="1:8" x14ac:dyDescent="0.3">
      <c r="A361">
        <v>16.999382584692526</v>
      </c>
      <c r="B361">
        <v>13.1097258031745</v>
      </c>
      <c r="C361">
        <v>2</v>
      </c>
      <c r="F361">
        <v>31.057881731866416</v>
      </c>
      <c r="G361">
        <v>23.600903473427707</v>
      </c>
      <c r="H361">
        <v>1.5</v>
      </c>
    </row>
    <row r="362" spans="1:8" x14ac:dyDescent="0.3">
      <c r="A362">
        <v>16.772324065381962</v>
      </c>
      <c r="B362">
        <v>14.021669825718313</v>
      </c>
      <c r="C362">
        <v>2.5</v>
      </c>
      <c r="F362">
        <v>36.451774328945874</v>
      </c>
      <c r="G362">
        <v>28.05582358826106</v>
      </c>
      <c r="H362">
        <v>2</v>
      </c>
    </row>
    <row r="363" spans="1:8" x14ac:dyDescent="0.3">
      <c r="A363">
        <v>17.081669168648194</v>
      </c>
      <c r="B363">
        <v>15.523125569318118</v>
      </c>
      <c r="C363">
        <v>3</v>
      </c>
      <c r="F363">
        <v>52.837270859579547</v>
      </c>
      <c r="G363">
        <v>36.983315583190482</v>
      </c>
      <c r="H363">
        <v>4</v>
      </c>
    </row>
    <row r="364" spans="1:8" x14ac:dyDescent="0.3">
      <c r="A364">
        <v>18.50908581734393</v>
      </c>
      <c r="C364">
        <v>3.5</v>
      </c>
      <c r="G364">
        <v>45.2393069425557</v>
      </c>
      <c r="H364">
        <v>6</v>
      </c>
    </row>
    <row r="365" spans="1:8" x14ac:dyDescent="0.3">
      <c r="A365">
        <v>18.54629434900275</v>
      </c>
      <c r="C365">
        <v>4</v>
      </c>
      <c r="G365">
        <v>69.976547533203629</v>
      </c>
      <c r="H365">
        <v>18</v>
      </c>
    </row>
    <row r="366" spans="1:8" x14ac:dyDescent="0.3">
      <c r="A366">
        <v>18.576799286550457</v>
      </c>
      <c r="C366">
        <v>4.5</v>
      </c>
      <c r="G366">
        <v>74.466082705604393</v>
      </c>
      <c r="H366">
        <v>22</v>
      </c>
    </row>
    <row r="367" spans="1:8" x14ac:dyDescent="0.3">
      <c r="A367">
        <v>18.622167180900647</v>
      </c>
      <c r="C367">
        <v>5</v>
      </c>
      <c r="G367">
        <v>79.549816912374212</v>
      </c>
      <c r="H367">
        <v>26</v>
      </c>
    </row>
    <row r="368" spans="1:8" x14ac:dyDescent="0.3">
      <c r="A368">
        <v>18.65883601186594</v>
      </c>
      <c r="C368">
        <v>5.5</v>
      </c>
      <c r="G368">
        <v>85.52762241225193</v>
      </c>
      <c r="H368">
        <v>30</v>
      </c>
    </row>
    <row r="369" spans="1:9" x14ac:dyDescent="0.3">
      <c r="A369">
        <v>18.569593318873078</v>
      </c>
      <c r="C369">
        <v>6</v>
      </c>
      <c r="G369">
        <v>99.117252205745189</v>
      </c>
      <c r="H369">
        <v>42</v>
      </c>
    </row>
    <row r="370" spans="1:9" x14ac:dyDescent="0.3">
      <c r="A370">
        <v>20.253625740647241</v>
      </c>
      <c r="C370">
        <v>6.5</v>
      </c>
      <c r="G370">
        <v>103.01426864003734</v>
      </c>
      <c r="H370">
        <v>46</v>
      </c>
    </row>
    <row r="371" spans="1:9" x14ac:dyDescent="0.3">
      <c r="A371">
        <v>19.816381810986389</v>
      </c>
      <c r="C371">
        <v>7</v>
      </c>
      <c r="G371">
        <v>105.22056257789208</v>
      </c>
      <c r="H371">
        <v>50</v>
      </c>
    </row>
    <row r="372" spans="1:9" x14ac:dyDescent="0.3">
      <c r="A372">
        <v>20.956538586906522</v>
      </c>
      <c r="C372">
        <v>7.5</v>
      </c>
      <c r="G372">
        <v>105.89353177678503</v>
      </c>
      <c r="H372">
        <v>54</v>
      </c>
    </row>
    <row r="373" spans="1:9" x14ac:dyDescent="0.3">
      <c r="A373">
        <v>27.45935544353512</v>
      </c>
      <c r="C373">
        <v>8</v>
      </c>
      <c r="G373">
        <v>109.01371155929974</v>
      </c>
      <c r="H373">
        <v>65</v>
      </c>
    </row>
    <row r="376" spans="1:9" x14ac:dyDescent="0.3">
      <c r="I376" t="s">
        <v>245</v>
      </c>
    </row>
    <row r="377" spans="1:9" x14ac:dyDescent="0.3">
      <c r="A377" t="s">
        <v>243</v>
      </c>
      <c r="C377" t="s">
        <v>216</v>
      </c>
    </row>
    <row r="378" spans="1:9" x14ac:dyDescent="0.3">
      <c r="C378" t="s">
        <v>92</v>
      </c>
    </row>
    <row r="379" spans="1:9" x14ac:dyDescent="0.3">
      <c r="A379" t="s">
        <v>2</v>
      </c>
      <c r="F379" t="s">
        <v>69</v>
      </c>
      <c r="G379" t="s">
        <v>147</v>
      </c>
    </row>
    <row r="380" spans="1:9" x14ac:dyDescent="0.3">
      <c r="A380" t="s">
        <v>79</v>
      </c>
      <c r="B380" t="s">
        <v>106</v>
      </c>
      <c r="F380" t="s">
        <v>208</v>
      </c>
      <c r="G380" t="s">
        <v>208</v>
      </c>
    </row>
    <row r="381" spans="1:9" x14ac:dyDescent="0.3">
      <c r="A381" s="6">
        <f>B381/60</f>
        <v>1.6666666666666666E-2</v>
      </c>
      <c r="B381" s="6">
        <v>1</v>
      </c>
      <c r="F381">
        <v>0.4015752798246775</v>
      </c>
      <c r="G381">
        <v>0.52346208661614868</v>
      </c>
    </row>
    <row r="382" spans="1:9" x14ac:dyDescent="0.3">
      <c r="A382" s="6">
        <f t="shared" ref="A382:A397" si="258">B382/60</f>
        <v>0.5</v>
      </c>
      <c r="B382" s="6">
        <v>30</v>
      </c>
      <c r="F382">
        <v>11.983752078320771</v>
      </c>
      <c r="G382">
        <v>15.847080601030203</v>
      </c>
    </row>
    <row r="383" spans="1:9" x14ac:dyDescent="0.3">
      <c r="A383" s="6">
        <f t="shared" si="258"/>
        <v>1</v>
      </c>
      <c r="B383" s="6">
        <f>B382+30</f>
        <v>60</v>
      </c>
      <c r="F383">
        <v>12.382515422912466</v>
      </c>
      <c r="G383">
        <v>16.476703412660047</v>
      </c>
    </row>
    <row r="384" spans="1:9" x14ac:dyDescent="0.3">
      <c r="A384" s="6">
        <f t="shared" si="258"/>
        <v>1.5</v>
      </c>
      <c r="B384" s="6">
        <f t="shared" ref="B384:B397" si="259">B383+30</f>
        <v>90</v>
      </c>
      <c r="F384">
        <v>12.694487426573845</v>
      </c>
      <c r="G384">
        <v>16.645354014628012</v>
      </c>
    </row>
    <row r="385" spans="1:7" x14ac:dyDescent="0.3">
      <c r="A385" s="6">
        <f t="shared" si="258"/>
        <v>2</v>
      </c>
      <c r="B385" s="6">
        <f t="shared" si="259"/>
        <v>120</v>
      </c>
      <c r="F385">
        <v>13.1097258031745</v>
      </c>
      <c r="G385">
        <v>16.999382584692526</v>
      </c>
    </row>
    <row r="386" spans="1:7" x14ac:dyDescent="0.3">
      <c r="A386" s="6">
        <f t="shared" si="258"/>
        <v>2.5</v>
      </c>
      <c r="B386" s="6">
        <f t="shared" si="259"/>
        <v>150</v>
      </c>
      <c r="F386">
        <v>14.021669825718313</v>
      </c>
      <c r="G386">
        <v>16.772324065381962</v>
      </c>
    </row>
    <row r="387" spans="1:7" x14ac:dyDescent="0.3">
      <c r="A387" s="6">
        <f t="shared" si="258"/>
        <v>3</v>
      </c>
      <c r="B387" s="6">
        <f t="shared" si="259"/>
        <v>180</v>
      </c>
      <c r="F387">
        <v>15.523125569318118</v>
      </c>
      <c r="G387">
        <v>17.081669168648194</v>
      </c>
    </row>
    <row r="388" spans="1:7" x14ac:dyDescent="0.3">
      <c r="A388" s="6">
        <f t="shared" si="258"/>
        <v>3.5</v>
      </c>
      <c r="B388" s="6">
        <f t="shared" si="259"/>
        <v>210</v>
      </c>
      <c r="G388">
        <v>18.50908581734393</v>
      </c>
    </row>
    <row r="389" spans="1:7" x14ac:dyDescent="0.3">
      <c r="A389" s="6">
        <f t="shared" si="258"/>
        <v>4</v>
      </c>
      <c r="B389" s="6">
        <f t="shared" si="259"/>
        <v>240</v>
      </c>
      <c r="G389">
        <v>18.54629434900275</v>
      </c>
    </row>
    <row r="390" spans="1:7" x14ac:dyDescent="0.3">
      <c r="A390" s="6">
        <f t="shared" si="258"/>
        <v>4.5</v>
      </c>
      <c r="B390" s="6">
        <f t="shared" si="259"/>
        <v>270</v>
      </c>
      <c r="G390">
        <v>18.576799286550457</v>
      </c>
    </row>
    <row r="391" spans="1:7" x14ac:dyDescent="0.3">
      <c r="A391" s="6">
        <f t="shared" si="258"/>
        <v>5</v>
      </c>
      <c r="B391" s="6">
        <f t="shared" si="259"/>
        <v>300</v>
      </c>
      <c r="G391">
        <v>18.622167180900647</v>
      </c>
    </row>
    <row r="392" spans="1:7" x14ac:dyDescent="0.3">
      <c r="A392" s="6">
        <f t="shared" si="258"/>
        <v>5.5</v>
      </c>
      <c r="B392" s="6">
        <f t="shared" si="259"/>
        <v>330</v>
      </c>
      <c r="G392">
        <v>18.65883601186594</v>
      </c>
    </row>
    <row r="393" spans="1:7" x14ac:dyDescent="0.3">
      <c r="A393" s="6">
        <f t="shared" si="258"/>
        <v>6</v>
      </c>
      <c r="B393" s="6">
        <f t="shared" si="259"/>
        <v>360</v>
      </c>
      <c r="G393">
        <v>18.569593318873078</v>
      </c>
    </row>
    <row r="394" spans="1:7" x14ac:dyDescent="0.3">
      <c r="A394" s="6">
        <f t="shared" si="258"/>
        <v>6.5</v>
      </c>
      <c r="B394" s="6">
        <f t="shared" si="259"/>
        <v>390</v>
      </c>
      <c r="G394">
        <v>20.253625740647241</v>
      </c>
    </row>
    <row r="395" spans="1:7" x14ac:dyDescent="0.3">
      <c r="A395" s="6">
        <f t="shared" si="258"/>
        <v>7</v>
      </c>
      <c r="B395" s="6">
        <f t="shared" si="259"/>
        <v>420</v>
      </c>
      <c r="G395">
        <v>19.816381810986389</v>
      </c>
    </row>
    <row r="396" spans="1:7" x14ac:dyDescent="0.3">
      <c r="A396" s="6">
        <f t="shared" si="258"/>
        <v>7.5</v>
      </c>
      <c r="B396" s="6">
        <f t="shared" si="259"/>
        <v>450</v>
      </c>
      <c r="G396">
        <v>20.956538586906522</v>
      </c>
    </row>
    <row r="397" spans="1:7" x14ac:dyDescent="0.3">
      <c r="A397" s="6">
        <f t="shared" si="258"/>
        <v>8</v>
      </c>
      <c r="B397" s="6">
        <f t="shared" si="259"/>
        <v>480</v>
      </c>
      <c r="G397">
        <v>27.45935544353512</v>
      </c>
    </row>
    <row r="400" spans="1:7" x14ac:dyDescent="0.3">
      <c r="A400" t="s">
        <v>243</v>
      </c>
      <c r="C400" t="s">
        <v>117</v>
      </c>
    </row>
    <row r="401" spans="2:9" x14ac:dyDescent="0.3">
      <c r="C401" t="s">
        <v>92</v>
      </c>
    </row>
    <row r="402" spans="2:9" x14ac:dyDescent="0.3">
      <c r="B402" t="s">
        <v>2</v>
      </c>
      <c r="F402" t="s">
        <v>69</v>
      </c>
      <c r="G402" t="s">
        <v>147</v>
      </c>
      <c r="I402" t="s">
        <v>244</v>
      </c>
    </row>
    <row r="403" spans="2:9" x14ac:dyDescent="0.3">
      <c r="B403" t="s">
        <v>79</v>
      </c>
      <c r="F403" t="s">
        <v>208</v>
      </c>
      <c r="G403" t="s">
        <v>208</v>
      </c>
    </row>
    <row r="404" spans="2:9" x14ac:dyDescent="0.3">
      <c r="B404">
        <v>1.6666666666666666E-2</v>
      </c>
      <c r="F404">
        <v>0.43673077916779263</v>
      </c>
      <c r="G404">
        <v>0.65242586348300269</v>
      </c>
    </row>
    <row r="405" spans="2:9" x14ac:dyDescent="0.3">
      <c r="B405">
        <v>0.16666666666666666</v>
      </c>
      <c r="F405">
        <v>4.2630904473101001</v>
      </c>
      <c r="G405">
        <v>5.3553496140176993</v>
      </c>
    </row>
    <row r="406" spans="2:9" x14ac:dyDescent="0.3">
      <c r="B406">
        <v>0.5</v>
      </c>
      <c r="F406">
        <v>11.012617145186065</v>
      </c>
      <c r="G406">
        <v>14.47163254160567</v>
      </c>
    </row>
    <row r="407" spans="2:9" x14ac:dyDescent="0.3">
      <c r="B407">
        <v>1</v>
      </c>
      <c r="F407">
        <v>18.132444678243026</v>
      </c>
      <c r="G407">
        <v>23.915727487397323</v>
      </c>
    </row>
    <row r="408" spans="2:9" x14ac:dyDescent="0.3">
      <c r="B408">
        <v>1.5</v>
      </c>
      <c r="F408">
        <v>23.600903473427707</v>
      </c>
      <c r="G408">
        <v>31.057881731866416</v>
      </c>
    </row>
    <row r="409" spans="2:9" x14ac:dyDescent="0.3">
      <c r="B409">
        <v>2</v>
      </c>
      <c r="F409">
        <v>28.05582358826106</v>
      </c>
      <c r="G409">
        <v>36.451774328945874</v>
      </c>
    </row>
    <row r="410" spans="2:9" x14ac:dyDescent="0.3">
      <c r="B410">
        <v>4</v>
      </c>
      <c r="F410">
        <v>36.983315583190482</v>
      </c>
      <c r="G410">
        <v>52.837270859579547</v>
      </c>
    </row>
    <row r="411" spans="2:9" x14ac:dyDescent="0.3">
      <c r="B411">
        <v>6</v>
      </c>
      <c r="F411">
        <v>45.2393069425557</v>
      </c>
    </row>
    <row r="412" spans="2:9" x14ac:dyDescent="0.3">
      <c r="B412">
        <v>18</v>
      </c>
      <c r="F412">
        <v>69.976547533203629</v>
      </c>
    </row>
    <row r="413" spans="2:9" x14ac:dyDescent="0.3">
      <c r="B413">
        <v>22</v>
      </c>
      <c r="F413">
        <v>74.466082705604393</v>
      </c>
    </row>
    <row r="414" spans="2:9" x14ac:dyDescent="0.3">
      <c r="B414">
        <v>26</v>
      </c>
      <c r="F414">
        <v>79.549816912374212</v>
      </c>
    </row>
    <row r="415" spans="2:9" x14ac:dyDescent="0.3">
      <c r="B415">
        <v>30</v>
      </c>
      <c r="F415">
        <v>85.52762241225193</v>
      </c>
    </row>
    <row r="416" spans="2:9" x14ac:dyDescent="0.3">
      <c r="B416">
        <v>42</v>
      </c>
      <c r="F416">
        <v>99.117252205745189</v>
      </c>
    </row>
    <row r="417" spans="2:6" x14ac:dyDescent="0.3">
      <c r="B417">
        <v>46</v>
      </c>
      <c r="F417">
        <v>103.01426864003734</v>
      </c>
    </row>
    <row r="418" spans="2:6" x14ac:dyDescent="0.3">
      <c r="B418">
        <v>50</v>
      </c>
      <c r="F418">
        <v>105.22056257789208</v>
      </c>
    </row>
    <row r="419" spans="2:6" x14ac:dyDescent="0.3">
      <c r="B419">
        <v>54</v>
      </c>
      <c r="F419">
        <v>105.89353177678503</v>
      </c>
    </row>
    <row r="420" spans="2:6" x14ac:dyDescent="0.3">
      <c r="B420">
        <v>65</v>
      </c>
      <c r="F420">
        <v>109.01371155929974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6</vt:i4>
      </vt:variant>
    </vt:vector>
  </HeadingPairs>
  <TitlesOfParts>
    <vt:vector size="10" baseType="lpstr">
      <vt:lpstr>Sheet1</vt:lpstr>
      <vt:lpstr>recirculation</vt:lpstr>
      <vt:lpstr>20v5</vt:lpstr>
      <vt:lpstr>Single pass</vt:lpstr>
      <vt:lpstr>Recirc20diffcon (2)</vt:lpstr>
      <vt:lpstr>Recirc5</vt:lpstr>
      <vt:lpstr>Recirc20diffcon</vt:lpstr>
      <vt:lpstr>SP plot</vt:lpstr>
      <vt:lpstr>SP plot (2)</vt:lpstr>
      <vt:lpstr>gradient</vt:lpstr>
    </vt:vector>
  </TitlesOfParts>
  <Company>Cranfield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"%username%"</dc:creator>
  <cp:lastModifiedBy>Ewan McAdam</cp:lastModifiedBy>
  <cp:lastPrinted>2016-05-16T10:07:01Z</cp:lastPrinted>
  <dcterms:created xsi:type="dcterms:W3CDTF">2015-11-05T19:43:28Z</dcterms:created>
  <dcterms:modified xsi:type="dcterms:W3CDTF">2022-01-18T21:55:53Z</dcterms:modified>
</cp:coreProperties>
</file>