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6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7.xml" ContentType="application/vnd.openxmlformats-officedocument.drawing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drawings/drawing8.xml" ContentType="application/vnd.openxmlformats-officedocument.drawing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https://cranfield-my.sharepoint.com/personal/federica_persico_cranfield_ac_uk/Documents/Fed`s/Papers - Work In Progress/TNT and Carbon - Submitted/"/>
    </mc:Choice>
  </mc:AlternateContent>
  <xr:revisionPtr revIDLastSave="1874" documentId="13_ncr:1_{A578C79A-DDAD-487C-8546-F104EC8767F2}" xr6:coauthVersionLast="47" xr6:coauthVersionMax="47" xr10:uidLastSave="{C9350D1E-DA5E-4E2D-BCD0-2775D27668A3}"/>
  <bookViews>
    <workbookView minimized="1" xWindow="1536" yWindow="1536" windowWidth="17280" windowHeight="8964" activeTab="1" xr2:uid="{00000000-000D-0000-FFFF-FFFF00000000}"/>
  </bookViews>
  <sheets>
    <sheet name="Calibration Distilled Water" sheetId="3" r:id="rId1"/>
    <sheet name="Distilled water" sheetId="1" r:id="rId2"/>
    <sheet name="Calibration SeaWater" sheetId="4" r:id="rId3"/>
    <sheet name="Sea water" sheetId="2" r:id="rId4"/>
    <sheet name="latest data " sheetId="6" r:id="rId5"/>
    <sheet name="Isotherms Freudlich Dist Water" sheetId="11" r:id="rId6"/>
    <sheet name="Isotherms Freudlich Sea Water" sheetId="10" r:id="rId7"/>
    <sheet name="Isotherms Lingmur Dist Water" sheetId="12" r:id="rId8"/>
    <sheet name="Isotherms Lingmur Sea wat" sheetId="14" r:id="rId9"/>
    <sheet name="Isotherms  Timklin Dist Water" sheetId="9" r:id="rId10"/>
    <sheet name="Isotherms Timklin Sea Water" sheetId="15" r:id="rId11"/>
  </sheets>
  <calcPr calcId="191029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" i="1" l="1"/>
  <c r="M10" i="1"/>
  <c r="N10" i="2"/>
  <c r="M10" i="2"/>
  <c r="M5" i="2"/>
  <c r="E6" i="6"/>
  <c r="E5" i="6"/>
  <c r="E4" i="6"/>
  <c r="D51" i="15"/>
  <c r="E51" i="15" s="1"/>
  <c r="C51" i="15"/>
  <c r="B51" i="15"/>
  <c r="D50" i="15"/>
  <c r="C50" i="15"/>
  <c r="E50" i="15" s="1"/>
  <c r="B50" i="15"/>
  <c r="D49" i="15"/>
  <c r="E49" i="15" s="1"/>
  <c r="C49" i="15"/>
  <c r="B49" i="15"/>
  <c r="D48" i="15"/>
  <c r="C48" i="15"/>
  <c r="E48" i="15" s="1"/>
  <c r="B48" i="15"/>
  <c r="D47" i="15"/>
  <c r="E47" i="15" s="1"/>
  <c r="C47" i="15"/>
  <c r="B47" i="15"/>
  <c r="D46" i="15"/>
  <c r="C46" i="15"/>
  <c r="E46" i="15" s="1"/>
  <c r="B46" i="15"/>
  <c r="D45" i="15"/>
  <c r="C45" i="15"/>
  <c r="E45" i="15" s="1"/>
  <c r="B45" i="15"/>
  <c r="F40" i="15"/>
  <c r="F39" i="15"/>
  <c r="F38" i="15"/>
  <c r="G37" i="15"/>
  <c r="F37" i="15"/>
  <c r="G36" i="15"/>
  <c r="F36" i="15"/>
  <c r="G35" i="15"/>
  <c r="F35" i="15"/>
  <c r="G34" i="15"/>
  <c r="F34" i="15"/>
  <c r="G33" i="15"/>
  <c r="F33" i="15"/>
  <c r="G32" i="15"/>
  <c r="F32" i="15"/>
  <c r="G31" i="15"/>
  <c r="F31" i="15"/>
  <c r="G30" i="15"/>
  <c r="F30" i="15"/>
  <c r="G29" i="15"/>
  <c r="F29" i="15"/>
  <c r="G28" i="15"/>
  <c r="F28" i="15"/>
  <c r="G27" i="15"/>
  <c r="F27" i="15"/>
  <c r="G26" i="15"/>
  <c r="F26" i="15"/>
  <c r="G25" i="15"/>
  <c r="F25" i="15"/>
  <c r="G24" i="15"/>
  <c r="F24" i="15"/>
  <c r="G23" i="15"/>
  <c r="F23" i="15"/>
  <c r="G22" i="15"/>
  <c r="F22" i="15"/>
  <c r="G21" i="15"/>
  <c r="F21" i="15"/>
  <c r="G20" i="15"/>
  <c r="F20" i="15"/>
  <c r="G19" i="15"/>
  <c r="F19" i="15"/>
  <c r="G18" i="15"/>
  <c r="F18" i="15"/>
  <c r="G17" i="15"/>
  <c r="F17" i="15"/>
  <c r="E46" i="9"/>
  <c r="E47" i="9"/>
  <c r="E48" i="9"/>
  <c r="E49" i="9"/>
  <c r="E50" i="9"/>
  <c r="E51" i="9"/>
  <c r="E45" i="9"/>
  <c r="B50" i="9"/>
  <c r="B51" i="9"/>
  <c r="B49" i="9"/>
  <c r="B48" i="9"/>
  <c r="B47" i="9"/>
  <c r="B46" i="9"/>
  <c r="B45" i="9"/>
  <c r="C45" i="9"/>
  <c r="D51" i="9"/>
  <c r="D50" i="9"/>
  <c r="D49" i="9"/>
  <c r="D48" i="9"/>
  <c r="D47" i="9"/>
  <c r="D46" i="9"/>
  <c r="D45" i="9"/>
  <c r="C51" i="9"/>
  <c r="C50" i="9"/>
  <c r="C49" i="9"/>
  <c r="C48" i="9"/>
  <c r="C47" i="9"/>
  <c r="C46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8" i="9"/>
  <c r="G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18" i="9"/>
  <c r="D52" i="14"/>
  <c r="F52" i="14" s="1"/>
  <c r="C52" i="14"/>
  <c r="E52" i="14" s="1"/>
  <c r="D51" i="14"/>
  <c r="F51" i="14" s="1"/>
  <c r="C51" i="14"/>
  <c r="E51" i="14" s="1"/>
  <c r="D50" i="14"/>
  <c r="F50" i="14" s="1"/>
  <c r="C50" i="14"/>
  <c r="E50" i="14" s="1"/>
  <c r="D49" i="14"/>
  <c r="F49" i="14" s="1"/>
  <c r="C49" i="14"/>
  <c r="E49" i="14" s="1"/>
  <c r="D48" i="14"/>
  <c r="F48" i="14" s="1"/>
  <c r="C48" i="14"/>
  <c r="E48" i="14" s="1"/>
  <c r="D47" i="14"/>
  <c r="F47" i="14" s="1"/>
  <c r="C47" i="14"/>
  <c r="E47" i="14" s="1"/>
  <c r="D46" i="14"/>
  <c r="F46" i="14" s="1"/>
  <c r="C46" i="14"/>
  <c r="E46" i="14" s="1"/>
  <c r="F47" i="12"/>
  <c r="F48" i="12"/>
  <c r="F49" i="12"/>
  <c r="F50" i="12"/>
  <c r="F51" i="12"/>
  <c r="F52" i="12"/>
  <c r="F46" i="12"/>
  <c r="E47" i="12"/>
  <c r="E48" i="12"/>
  <c r="E49" i="12"/>
  <c r="E50" i="12"/>
  <c r="E51" i="12"/>
  <c r="E52" i="12"/>
  <c r="E46" i="12"/>
  <c r="D52" i="12"/>
  <c r="D50" i="12"/>
  <c r="D51" i="12"/>
  <c r="D49" i="12"/>
  <c r="D48" i="12"/>
  <c r="D47" i="12"/>
  <c r="D46" i="12"/>
  <c r="C52" i="12"/>
  <c r="C51" i="12"/>
  <c r="C50" i="12"/>
  <c r="C49" i="12"/>
  <c r="C48" i="12"/>
  <c r="C47" i="12"/>
  <c r="C46" i="12"/>
  <c r="D41" i="14"/>
  <c r="D40" i="14"/>
  <c r="D39" i="14"/>
  <c r="D38" i="14"/>
  <c r="E38" i="14" s="1"/>
  <c r="D37" i="14"/>
  <c r="D36" i="14"/>
  <c r="E36" i="14" s="1"/>
  <c r="D35" i="14"/>
  <c r="D34" i="14"/>
  <c r="D33" i="14"/>
  <c r="D32" i="14"/>
  <c r="D31" i="14"/>
  <c r="E31" i="14" s="1"/>
  <c r="D30" i="14"/>
  <c r="E30" i="14" s="1"/>
  <c r="D29" i="14"/>
  <c r="E29" i="14" s="1"/>
  <c r="D28" i="14"/>
  <c r="E28" i="14" s="1"/>
  <c r="D27" i="14"/>
  <c r="E27" i="14" s="1"/>
  <c r="D26" i="14"/>
  <c r="D25" i="14"/>
  <c r="E25" i="14" s="1"/>
  <c r="D24" i="14"/>
  <c r="E24" i="14" s="1"/>
  <c r="D23" i="14"/>
  <c r="E23" i="14" s="1"/>
  <c r="D22" i="14"/>
  <c r="E22" i="14" s="1"/>
  <c r="D21" i="14"/>
  <c r="D20" i="14"/>
  <c r="E20" i="14" s="1"/>
  <c r="D19" i="14"/>
  <c r="E19" i="14" s="1"/>
  <c r="D18" i="14"/>
  <c r="E37" i="14"/>
  <c r="E34" i="14"/>
  <c r="E33" i="14"/>
  <c r="E32" i="14"/>
  <c r="E26" i="14"/>
  <c r="E18" i="14"/>
  <c r="D18" i="12"/>
  <c r="D38" i="12"/>
  <c r="D37" i="12"/>
  <c r="D36" i="12"/>
  <c r="D35" i="12"/>
  <c r="D34" i="12"/>
  <c r="D33" i="12"/>
  <c r="E33" i="12" s="1"/>
  <c r="D32" i="12"/>
  <c r="D31" i="12"/>
  <c r="D30" i="12"/>
  <c r="D29" i="12"/>
  <c r="D28" i="12"/>
  <c r="E28" i="12" s="1"/>
  <c r="D27" i="12"/>
  <c r="D26" i="12"/>
  <c r="D25" i="12"/>
  <c r="D24" i="12"/>
  <c r="E24" i="12" s="1"/>
  <c r="D23" i="12"/>
  <c r="D22" i="12"/>
  <c r="E22" i="12" s="1"/>
  <c r="D21" i="12"/>
  <c r="D20" i="12"/>
  <c r="D19" i="12"/>
  <c r="E21" i="12"/>
  <c r="E19" i="12"/>
  <c r="E20" i="12"/>
  <c r="E23" i="12"/>
  <c r="E25" i="12"/>
  <c r="E26" i="12"/>
  <c r="E27" i="12"/>
  <c r="E29" i="12"/>
  <c r="E30" i="12"/>
  <c r="E31" i="12"/>
  <c r="E32" i="12"/>
  <c r="E36" i="12"/>
  <c r="E37" i="12"/>
  <c r="E38" i="12"/>
  <c r="F45" i="11"/>
  <c r="E45" i="11"/>
  <c r="F44" i="11"/>
  <c r="E44" i="11"/>
  <c r="F43" i="11"/>
  <c r="E43" i="11"/>
  <c r="F42" i="11"/>
  <c r="E42" i="11"/>
  <c r="F41" i="11"/>
  <c r="E41" i="11"/>
  <c r="F40" i="11"/>
  <c r="E40" i="11"/>
  <c r="F39" i="11"/>
  <c r="E39" i="11"/>
  <c r="F41" i="10"/>
  <c r="F40" i="10"/>
  <c r="F42" i="10"/>
  <c r="F43" i="10"/>
  <c r="F44" i="10"/>
  <c r="F45" i="10"/>
  <c r="F39" i="10"/>
  <c r="E40" i="10"/>
  <c r="E41" i="10"/>
  <c r="E42" i="10"/>
  <c r="E43" i="10"/>
  <c r="E44" i="10"/>
  <c r="E45" i="10"/>
  <c r="E39" i="10"/>
  <c r="D45" i="10"/>
  <c r="C45" i="10"/>
  <c r="D44" i="10"/>
  <c r="C44" i="10"/>
  <c r="D43" i="10"/>
  <c r="C43" i="10"/>
  <c r="D42" i="10"/>
  <c r="C42" i="10"/>
  <c r="D41" i="10"/>
  <c r="C41" i="10"/>
  <c r="D40" i="10"/>
  <c r="C40" i="10"/>
  <c r="D39" i="10"/>
  <c r="C39" i="10"/>
  <c r="D45" i="11"/>
  <c r="D44" i="11"/>
  <c r="D43" i="11"/>
  <c r="D42" i="11"/>
  <c r="D41" i="11"/>
  <c r="D40" i="11"/>
  <c r="D39" i="11"/>
  <c r="C45" i="11"/>
  <c r="C44" i="11"/>
  <c r="C43" i="11"/>
  <c r="C42" i="11"/>
  <c r="C41" i="11"/>
  <c r="C39" i="11"/>
  <c r="C40" i="11"/>
  <c r="E14" i="11"/>
  <c r="F14" i="11"/>
  <c r="G29" i="11"/>
  <c r="G27" i="11"/>
  <c r="G21" i="11"/>
  <c r="G20" i="11"/>
  <c r="G19" i="11"/>
  <c r="G13" i="11"/>
  <c r="G12" i="11"/>
  <c r="G11" i="11"/>
  <c r="G31" i="11"/>
  <c r="E31" i="11"/>
  <c r="F31" i="11" s="1"/>
  <c r="G30" i="11"/>
  <c r="E30" i="11"/>
  <c r="F30" i="11" s="1"/>
  <c r="E29" i="11"/>
  <c r="F29" i="11" s="1"/>
  <c r="G28" i="11"/>
  <c r="E28" i="11"/>
  <c r="F28" i="11" s="1"/>
  <c r="G26" i="11"/>
  <c r="E26" i="11"/>
  <c r="F26" i="11" s="1"/>
  <c r="G25" i="11"/>
  <c r="E25" i="11"/>
  <c r="F25" i="11" s="1"/>
  <c r="G24" i="11"/>
  <c r="E24" i="11"/>
  <c r="F24" i="11" s="1"/>
  <c r="G23" i="11"/>
  <c r="E23" i="11"/>
  <c r="F23" i="11" s="1"/>
  <c r="G22" i="11"/>
  <c r="E22" i="11"/>
  <c r="F22" i="11" s="1"/>
  <c r="G18" i="11"/>
  <c r="E18" i="11"/>
  <c r="F18" i="11" s="1"/>
  <c r="G17" i="11"/>
  <c r="E17" i="11"/>
  <c r="F17" i="11" s="1"/>
  <c r="G16" i="11"/>
  <c r="E16" i="11"/>
  <c r="F16" i="11" s="1"/>
  <c r="G15" i="11"/>
  <c r="E15" i="11"/>
  <c r="F15" i="11" s="1"/>
  <c r="G14" i="11"/>
  <c r="E11" i="11"/>
  <c r="F11" i="11" s="1"/>
  <c r="G31" i="10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11" i="10"/>
  <c r="E12" i="10"/>
  <c r="E13" i="10"/>
  <c r="E14" i="10"/>
  <c r="E15" i="10"/>
  <c r="E16" i="10"/>
  <c r="E17" i="10"/>
  <c r="E18" i="10"/>
  <c r="E19" i="10"/>
  <c r="E20" i="10"/>
  <c r="E21" i="10"/>
  <c r="E22" i="10"/>
  <c r="E23" i="10"/>
  <c r="E24" i="10"/>
  <c r="E25" i="10"/>
  <c r="E26" i="10"/>
  <c r="E27" i="10"/>
  <c r="E28" i="10"/>
  <c r="E29" i="10"/>
  <c r="E30" i="10"/>
  <c r="E31" i="10"/>
  <c r="E11" i="10"/>
  <c r="N10" i="1"/>
  <c r="N13" i="2"/>
  <c r="M13" i="2"/>
  <c r="N13" i="1"/>
  <c r="M13" i="1"/>
  <c r="H15" i="6"/>
  <c r="F27" i="6"/>
  <c r="P28" i="6"/>
  <c r="P27" i="6"/>
  <c r="O27" i="6"/>
  <c r="N27" i="6"/>
  <c r="N28" i="6"/>
  <c r="M28" i="6"/>
  <c r="M27" i="6"/>
  <c r="M71" i="2"/>
  <c r="L28" i="6"/>
  <c r="L27" i="6"/>
  <c r="L71" i="2"/>
  <c r="F28" i="6"/>
  <c r="G28" i="6"/>
  <c r="G27" i="6"/>
  <c r="D28" i="6"/>
  <c r="D27" i="6"/>
  <c r="D71" i="2"/>
  <c r="H16" i="6"/>
  <c r="F16" i="6"/>
  <c r="C21" i="6"/>
  <c r="F21" i="6"/>
  <c r="G21" i="6"/>
  <c r="C22" i="6"/>
  <c r="F22" i="6"/>
  <c r="G22" i="6"/>
  <c r="C23" i="6"/>
  <c r="F23" i="6"/>
  <c r="G23" i="6"/>
  <c r="B27" i="6"/>
  <c r="C27" i="6" s="1"/>
  <c r="B28" i="6"/>
  <c r="C28" i="6" s="1"/>
  <c r="B10" i="6"/>
  <c r="B11" i="6"/>
  <c r="O52" i="1"/>
  <c r="O53" i="1"/>
  <c r="O54" i="1"/>
  <c r="O55" i="1"/>
  <c r="O56" i="1"/>
  <c r="O57" i="1"/>
  <c r="M52" i="1"/>
  <c r="N52" i="1" s="1"/>
  <c r="M53" i="1"/>
  <c r="M54" i="1"/>
  <c r="M55" i="1"/>
  <c r="M56" i="1"/>
  <c r="M57" i="1"/>
  <c r="N57" i="1" s="1"/>
  <c r="J72" i="1"/>
  <c r="J73" i="1"/>
  <c r="J74" i="1"/>
  <c r="P104" i="1" s="1"/>
  <c r="J75" i="1"/>
  <c r="K75" i="1" s="1"/>
  <c r="N75" i="1" s="1"/>
  <c r="J76" i="1"/>
  <c r="J77" i="1"/>
  <c r="P105" i="1" s="1"/>
  <c r="J78" i="1"/>
  <c r="O105" i="1" s="1"/>
  <c r="J79" i="1"/>
  <c r="K79" i="1" s="1"/>
  <c r="J80" i="1"/>
  <c r="J81" i="1"/>
  <c r="J82" i="1"/>
  <c r="O106" i="1" s="1"/>
  <c r="J83" i="1"/>
  <c r="J84" i="1"/>
  <c r="J85" i="1"/>
  <c r="K85" i="1" s="1"/>
  <c r="N85" i="1" s="1"/>
  <c r="J86" i="1"/>
  <c r="O108" i="1" s="1"/>
  <c r="J87" i="1"/>
  <c r="J88" i="1"/>
  <c r="J89" i="1"/>
  <c r="J90" i="1"/>
  <c r="M90" i="1" s="1"/>
  <c r="J91" i="1"/>
  <c r="P109" i="1" s="1"/>
  <c r="J71" i="1"/>
  <c r="H72" i="1"/>
  <c r="H73" i="1"/>
  <c r="H74" i="1"/>
  <c r="H75" i="1"/>
  <c r="L104" i="1" s="1"/>
  <c r="H76" i="1"/>
  <c r="K104" i="1" s="1"/>
  <c r="H77" i="1"/>
  <c r="K105" i="1" s="1"/>
  <c r="H78" i="1"/>
  <c r="H79" i="1"/>
  <c r="I79" i="1" s="1"/>
  <c r="H80" i="1"/>
  <c r="H81" i="1"/>
  <c r="H82" i="1"/>
  <c r="H83" i="1"/>
  <c r="H84" i="1"/>
  <c r="L107" i="1" s="1"/>
  <c r="H85" i="1"/>
  <c r="I85" i="1" s="1"/>
  <c r="H86" i="1"/>
  <c r="L108" i="1" s="1"/>
  <c r="H87" i="1"/>
  <c r="H88" i="1"/>
  <c r="H89" i="1"/>
  <c r="H90" i="1"/>
  <c r="H91" i="1"/>
  <c r="H71" i="1"/>
  <c r="L103" i="1" s="1"/>
  <c r="F72" i="1"/>
  <c r="F73" i="1"/>
  <c r="F74" i="1"/>
  <c r="F75" i="1"/>
  <c r="H104" i="1" s="1"/>
  <c r="F76" i="1"/>
  <c r="F77" i="1"/>
  <c r="H105" i="1" s="1"/>
  <c r="F78" i="1"/>
  <c r="F79" i="1"/>
  <c r="G79" i="1" s="1"/>
  <c r="F80" i="1"/>
  <c r="F81" i="1"/>
  <c r="F82" i="1"/>
  <c r="F83" i="1"/>
  <c r="H107" i="1" s="1"/>
  <c r="F84" i="1"/>
  <c r="F85" i="1"/>
  <c r="G85" i="1" s="1"/>
  <c r="F86" i="1"/>
  <c r="F87" i="1"/>
  <c r="H108" i="1" s="1"/>
  <c r="F88" i="1"/>
  <c r="F89" i="1"/>
  <c r="F90" i="1"/>
  <c r="F91" i="1"/>
  <c r="F71" i="1"/>
  <c r="D71" i="1"/>
  <c r="F3" i="1"/>
  <c r="N54" i="1"/>
  <c r="N53" i="1"/>
  <c r="L78" i="1" s="1"/>
  <c r="N55" i="1"/>
  <c r="N56" i="1"/>
  <c r="X109" i="1"/>
  <c r="W109" i="1"/>
  <c r="O109" i="1"/>
  <c r="L109" i="1"/>
  <c r="K109" i="1"/>
  <c r="H109" i="1"/>
  <c r="G109" i="1"/>
  <c r="F109" i="1"/>
  <c r="E109" i="1"/>
  <c r="D109" i="1"/>
  <c r="C109" i="1"/>
  <c r="B109" i="1"/>
  <c r="P108" i="1"/>
  <c r="F108" i="1"/>
  <c r="E108" i="1"/>
  <c r="D108" i="1"/>
  <c r="C108" i="1"/>
  <c r="B108" i="1"/>
  <c r="X107" i="1"/>
  <c r="W107" i="1"/>
  <c r="P107" i="1"/>
  <c r="O107" i="1"/>
  <c r="F107" i="1"/>
  <c r="E107" i="1"/>
  <c r="D107" i="1"/>
  <c r="C107" i="1"/>
  <c r="B107" i="1"/>
  <c r="P106" i="1"/>
  <c r="L106" i="1"/>
  <c r="K106" i="1"/>
  <c r="H106" i="1"/>
  <c r="G106" i="1"/>
  <c r="F106" i="1"/>
  <c r="E106" i="1"/>
  <c r="D106" i="1"/>
  <c r="C106" i="1"/>
  <c r="B106" i="1"/>
  <c r="L105" i="1"/>
  <c r="F105" i="1"/>
  <c r="E105" i="1"/>
  <c r="D105" i="1"/>
  <c r="C105" i="1"/>
  <c r="B105" i="1"/>
  <c r="X104" i="1"/>
  <c r="W104" i="1"/>
  <c r="F104" i="1"/>
  <c r="E104" i="1"/>
  <c r="D104" i="1"/>
  <c r="C104" i="1"/>
  <c r="B104" i="1"/>
  <c r="X103" i="1"/>
  <c r="W103" i="1"/>
  <c r="P103" i="1"/>
  <c r="O103" i="1"/>
  <c r="H103" i="1"/>
  <c r="G103" i="1"/>
  <c r="D103" i="1"/>
  <c r="C103" i="1"/>
  <c r="B103" i="1"/>
  <c r="U104" i="2"/>
  <c r="V109" i="2"/>
  <c r="V108" i="2"/>
  <c r="V107" i="2"/>
  <c r="V106" i="2"/>
  <c r="V105" i="2"/>
  <c r="V104" i="2"/>
  <c r="V103" i="2"/>
  <c r="U109" i="2"/>
  <c r="U108" i="2"/>
  <c r="U107" i="2"/>
  <c r="U106" i="2"/>
  <c r="U105" i="2"/>
  <c r="U103" i="2"/>
  <c r="X109" i="2"/>
  <c r="W109" i="2"/>
  <c r="X108" i="2"/>
  <c r="W108" i="2"/>
  <c r="X107" i="2"/>
  <c r="W107" i="2"/>
  <c r="X106" i="2"/>
  <c r="W106" i="2"/>
  <c r="X105" i="2"/>
  <c r="W105" i="2"/>
  <c r="X104" i="2"/>
  <c r="W104" i="2"/>
  <c r="X103" i="2"/>
  <c r="W103" i="2"/>
  <c r="T109" i="2"/>
  <c r="S109" i="2"/>
  <c r="T108" i="2"/>
  <c r="S108" i="2"/>
  <c r="T107" i="2"/>
  <c r="S107" i="2"/>
  <c r="T106" i="2"/>
  <c r="S106" i="2"/>
  <c r="T105" i="2"/>
  <c r="S105" i="2"/>
  <c r="T104" i="2"/>
  <c r="S104" i="2"/>
  <c r="T103" i="2"/>
  <c r="S103" i="2"/>
  <c r="R109" i="2"/>
  <c r="R108" i="2"/>
  <c r="R107" i="2"/>
  <c r="R106" i="2"/>
  <c r="R105" i="2"/>
  <c r="R104" i="2"/>
  <c r="R103" i="2"/>
  <c r="Q109" i="2"/>
  <c r="Q108" i="2"/>
  <c r="Q107" i="2"/>
  <c r="Q106" i="2"/>
  <c r="Q105" i="2"/>
  <c r="Q104" i="2"/>
  <c r="Q103" i="2"/>
  <c r="P109" i="2"/>
  <c r="P108" i="2"/>
  <c r="P107" i="2"/>
  <c r="P106" i="2"/>
  <c r="P105" i="2"/>
  <c r="P104" i="2"/>
  <c r="P103" i="2"/>
  <c r="O109" i="2"/>
  <c r="O108" i="2"/>
  <c r="O107" i="2"/>
  <c r="O106" i="2"/>
  <c r="O105" i="2"/>
  <c r="O104" i="2"/>
  <c r="O103" i="2"/>
  <c r="N109" i="2"/>
  <c r="N108" i="2"/>
  <c r="N107" i="2"/>
  <c r="N106" i="2"/>
  <c r="N105" i="2"/>
  <c r="N104" i="2"/>
  <c r="N103" i="2"/>
  <c r="M109" i="2"/>
  <c r="M108" i="2"/>
  <c r="M107" i="2"/>
  <c r="M106" i="2"/>
  <c r="M105" i="2"/>
  <c r="M104" i="2"/>
  <c r="M103" i="2"/>
  <c r="L109" i="2"/>
  <c r="L108" i="2"/>
  <c r="L107" i="2"/>
  <c r="L106" i="2"/>
  <c r="L105" i="2"/>
  <c r="L104" i="2"/>
  <c r="L103" i="2"/>
  <c r="K109" i="2"/>
  <c r="K108" i="2"/>
  <c r="K107" i="2"/>
  <c r="K106" i="2"/>
  <c r="K105" i="2"/>
  <c r="K104" i="2"/>
  <c r="K103" i="2"/>
  <c r="J109" i="2"/>
  <c r="J108" i="2"/>
  <c r="J107" i="2"/>
  <c r="J106" i="2"/>
  <c r="J105" i="2"/>
  <c r="J104" i="2"/>
  <c r="J103" i="2"/>
  <c r="I109" i="2"/>
  <c r="I108" i="2"/>
  <c r="I107" i="2"/>
  <c r="I106" i="2"/>
  <c r="I105" i="2"/>
  <c r="I104" i="2"/>
  <c r="I103" i="2"/>
  <c r="H109" i="2"/>
  <c r="H108" i="2"/>
  <c r="H107" i="2"/>
  <c r="H106" i="2"/>
  <c r="H105" i="2"/>
  <c r="H104" i="2"/>
  <c r="H103" i="2"/>
  <c r="G109" i="2"/>
  <c r="G108" i="2"/>
  <c r="G107" i="2"/>
  <c r="G106" i="2"/>
  <c r="G105" i="2"/>
  <c r="G104" i="2"/>
  <c r="G103" i="2"/>
  <c r="F109" i="2"/>
  <c r="F108" i="2"/>
  <c r="F107" i="2"/>
  <c r="F106" i="2"/>
  <c r="F105" i="2"/>
  <c r="F104" i="2"/>
  <c r="F103" i="2"/>
  <c r="D106" i="2"/>
  <c r="D109" i="2"/>
  <c r="D108" i="2"/>
  <c r="D107" i="2"/>
  <c r="D105" i="2"/>
  <c r="D104" i="2"/>
  <c r="D103" i="2"/>
  <c r="E109" i="2"/>
  <c r="E108" i="2"/>
  <c r="E107" i="2"/>
  <c r="E106" i="2"/>
  <c r="E105" i="2"/>
  <c r="E104" i="2"/>
  <c r="E103" i="2"/>
  <c r="C109" i="2"/>
  <c r="C108" i="2"/>
  <c r="C107" i="2"/>
  <c r="C106" i="2"/>
  <c r="C105" i="2"/>
  <c r="C104" i="2"/>
  <c r="C103" i="2"/>
  <c r="B109" i="2"/>
  <c r="B108" i="2"/>
  <c r="B107" i="2"/>
  <c r="B106" i="2"/>
  <c r="B105" i="2"/>
  <c r="B104" i="2"/>
  <c r="B103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45" i="2"/>
  <c r="O72" i="1"/>
  <c r="O73" i="1"/>
  <c r="O74" i="1"/>
  <c r="O75" i="1"/>
  <c r="O76" i="1"/>
  <c r="O83" i="1"/>
  <c r="O84" i="1"/>
  <c r="O85" i="1"/>
  <c r="O89" i="1"/>
  <c r="O90" i="1"/>
  <c r="O91" i="1"/>
  <c r="O71" i="1"/>
  <c r="L72" i="1"/>
  <c r="L73" i="1"/>
  <c r="L74" i="1"/>
  <c r="L75" i="1"/>
  <c r="L76" i="1"/>
  <c r="L83" i="1"/>
  <c r="L84" i="1"/>
  <c r="L85" i="1"/>
  <c r="L89" i="1"/>
  <c r="L90" i="1"/>
  <c r="L91" i="1"/>
  <c r="L71" i="1"/>
  <c r="O47" i="1"/>
  <c r="O48" i="1"/>
  <c r="O49" i="1"/>
  <c r="O50" i="1"/>
  <c r="O51" i="1"/>
  <c r="O58" i="1"/>
  <c r="O59" i="1"/>
  <c r="O60" i="1"/>
  <c r="O64" i="1"/>
  <c r="O65" i="1"/>
  <c r="O66" i="1"/>
  <c r="O46" i="1"/>
  <c r="D91" i="1"/>
  <c r="B91" i="1"/>
  <c r="C91" i="1" s="1"/>
  <c r="I90" i="1"/>
  <c r="D90" i="1"/>
  <c r="E90" i="1" s="1"/>
  <c r="C90" i="1"/>
  <c r="K90" i="1" s="1"/>
  <c r="N90" i="1" s="1"/>
  <c r="B90" i="1"/>
  <c r="D89" i="1"/>
  <c r="B89" i="1"/>
  <c r="C89" i="1" s="1"/>
  <c r="G88" i="1"/>
  <c r="D88" i="1"/>
  <c r="E88" i="1" s="1"/>
  <c r="C88" i="1"/>
  <c r="M88" i="1" s="1"/>
  <c r="B88" i="1"/>
  <c r="I87" i="1"/>
  <c r="D87" i="1"/>
  <c r="E87" i="1" s="1"/>
  <c r="C87" i="1"/>
  <c r="B87" i="1"/>
  <c r="G86" i="1"/>
  <c r="E86" i="1"/>
  <c r="D86" i="1"/>
  <c r="C86" i="1"/>
  <c r="M86" i="1" s="1"/>
  <c r="B86" i="1"/>
  <c r="D85" i="1"/>
  <c r="B85" i="1"/>
  <c r="C85" i="1" s="1"/>
  <c r="D84" i="1"/>
  <c r="B84" i="1"/>
  <c r="C84" i="1" s="1"/>
  <c r="D83" i="1"/>
  <c r="B83" i="1"/>
  <c r="C83" i="1" s="1"/>
  <c r="K82" i="1"/>
  <c r="N82" i="1" s="1"/>
  <c r="D82" i="1"/>
  <c r="B82" i="1"/>
  <c r="C82" i="1" s="1"/>
  <c r="K81" i="1"/>
  <c r="N81" i="1" s="1"/>
  <c r="G81" i="1"/>
  <c r="D81" i="1"/>
  <c r="E81" i="1" s="1"/>
  <c r="B81" i="1"/>
  <c r="C81" i="1" s="1"/>
  <c r="G80" i="1"/>
  <c r="D80" i="1"/>
  <c r="E80" i="1" s="1"/>
  <c r="C80" i="1"/>
  <c r="M80" i="1" s="1"/>
  <c r="B80" i="1"/>
  <c r="D79" i="1"/>
  <c r="E79" i="1" s="1"/>
  <c r="C79" i="1"/>
  <c r="B79" i="1"/>
  <c r="I78" i="1"/>
  <c r="G78" i="1"/>
  <c r="E78" i="1"/>
  <c r="D78" i="1"/>
  <c r="C78" i="1"/>
  <c r="B78" i="1"/>
  <c r="D77" i="1"/>
  <c r="B77" i="1"/>
  <c r="C77" i="1" s="1"/>
  <c r="K76" i="1"/>
  <c r="N76" i="1" s="1"/>
  <c r="D76" i="1"/>
  <c r="E76" i="1" s="1"/>
  <c r="B76" i="1"/>
  <c r="C76" i="1" s="1"/>
  <c r="D75" i="1"/>
  <c r="B75" i="1"/>
  <c r="C75" i="1" s="1"/>
  <c r="I74" i="1"/>
  <c r="G74" i="1"/>
  <c r="D74" i="1"/>
  <c r="E74" i="1" s="1"/>
  <c r="C74" i="1"/>
  <c r="K74" i="1" s="1"/>
  <c r="N74" i="1" s="1"/>
  <c r="B74" i="1"/>
  <c r="I73" i="1"/>
  <c r="G73" i="1"/>
  <c r="D73" i="1"/>
  <c r="E73" i="1" s="1"/>
  <c r="C73" i="1"/>
  <c r="M73" i="1" s="1"/>
  <c r="B73" i="1"/>
  <c r="I72" i="1"/>
  <c r="G72" i="1"/>
  <c r="J103" i="1" s="1"/>
  <c r="D72" i="1"/>
  <c r="E72" i="1" s="1"/>
  <c r="C72" i="1"/>
  <c r="M72" i="1" s="1"/>
  <c r="B72" i="1"/>
  <c r="I71" i="1"/>
  <c r="G71" i="1"/>
  <c r="I103" i="1" s="1"/>
  <c r="E71" i="1"/>
  <c r="C71" i="1"/>
  <c r="K71" i="1" s="1"/>
  <c r="N71" i="1" s="1"/>
  <c r="B71" i="1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N85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6" i="2"/>
  <c r="N87" i="2"/>
  <c r="N88" i="2"/>
  <c r="N89" i="2"/>
  <c r="N90" i="2"/>
  <c r="N9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71" i="2"/>
  <c r="E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H71" i="2"/>
  <c r="J71" i="2"/>
  <c r="E72" i="2"/>
  <c r="F71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5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9" i="1"/>
  <c r="G5" i="1"/>
  <c r="E9" i="1"/>
  <c r="K10" i="1"/>
  <c r="L52" i="1"/>
  <c r="L57" i="1"/>
  <c r="L56" i="1"/>
  <c r="L55" i="1"/>
  <c r="L54" i="1"/>
  <c r="L53" i="1"/>
  <c r="K11" i="2"/>
  <c r="I11" i="2"/>
  <c r="G11" i="2"/>
  <c r="E11" i="2"/>
  <c r="I10" i="2"/>
  <c r="G10" i="2"/>
  <c r="E10" i="2"/>
  <c r="K9" i="2"/>
  <c r="I9" i="2"/>
  <c r="G9" i="2"/>
  <c r="E9" i="2"/>
  <c r="K8" i="2"/>
  <c r="I8" i="2"/>
  <c r="G8" i="2"/>
  <c r="E8" i="2"/>
  <c r="K7" i="2"/>
  <c r="I7" i="2"/>
  <c r="G7" i="2"/>
  <c r="E7" i="2"/>
  <c r="K6" i="2"/>
  <c r="I6" i="2"/>
  <c r="G6" i="2"/>
  <c r="E6" i="2"/>
  <c r="K5" i="2"/>
  <c r="I5" i="2"/>
  <c r="G5" i="2"/>
  <c r="E5" i="2"/>
  <c r="K4" i="2"/>
  <c r="I4" i="2"/>
  <c r="G4" i="2"/>
  <c r="E4" i="2"/>
  <c r="K3" i="2"/>
  <c r="I3" i="2"/>
  <c r="G3" i="2"/>
  <c r="E3" i="2"/>
  <c r="K14" i="2"/>
  <c r="I14" i="2"/>
  <c r="G14" i="2"/>
  <c r="E14" i="2"/>
  <c r="K13" i="2"/>
  <c r="I13" i="2"/>
  <c r="G13" i="2"/>
  <c r="E13" i="2"/>
  <c r="K12" i="2"/>
  <c r="I12" i="2"/>
  <c r="G12" i="2"/>
  <c r="E12" i="2"/>
  <c r="K21" i="2"/>
  <c r="K20" i="2"/>
  <c r="I20" i="2"/>
  <c r="G20" i="2"/>
  <c r="E20" i="2"/>
  <c r="K19" i="2"/>
  <c r="I19" i="2"/>
  <c r="G19" i="2"/>
  <c r="E19" i="2"/>
  <c r="K18" i="2"/>
  <c r="I18" i="2"/>
  <c r="G18" i="2"/>
  <c r="E18" i="2"/>
  <c r="K23" i="2"/>
  <c r="I23" i="2"/>
  <c r="G23" i="2"/>
  <c r="E23" i="2"/>
  <c r="K22" i="2"/>
  <c r="I22" i="2"/>
  <c r="G22" i="2"/>
  <c r="E22" i="2"/>
  <c r="I21" i="2"/>
  <c r="G21" i="2"/>
  <c r="E21" i="2"/>
  <c r="K17" i="2"/>
  <c r="I17" i="2"/>
  <c r="G17" i="2"/>
  <c r="E17" i="2"/>
  <c r="K16" i="2"/>
  <c r="I16" i="2"/>
  <c r="G16" i="2"/>
  <c r="K15" i="2"/>
  <c r="I15" i="2"/>
  <c r="G15" i="2"/>
  <c r="E16" i="2"/>
  <c r="E15" i="2"/>
  <c r="K26" i="2"/>
  <c r="K25" i="2"/>
  <c r="K24" i="2"/>
  <c r="I26" i="2"/>
  <c r="I25" i="2"/>
  <c r="I24" i="2"/>
  <c r="G26" i="2"/>
  <c r="G25" i="2"/>
  <c r="G24" i="2"/>
  <c r="E26" i="2"/>
  <c r="E25" i="2"/>
  <c r="E24" i="2"/>
  <c r="K26" i="1"/>
  <c r="K25" i="1"/>
  <c r="K24" i="1"/>
  <c r="K23" i="1"/>
  <c r="K22" i="1"/>
  <c r="K21" i="1"/>
  <c r="K20" i="1"/>
  <c r="K19" i="1"/>
  <c r="K18" i="1"/>
  <c r="L18" i="1" s="1"/>
  <c r="K17" i="1"/>
  <c r="K16" i="1"/>
  <c r="K15" i="1"/>
  <c r="K14" i="1"/>
  <c r="K13" i="1"/>
  <c r="K12" i="1"/>
  <c r="K11" i="1"/>
  <c r="L11" i="1" s="1"/>
  <c r="K9" i="1"/>
  <c r="L9" i="1" s="1"/>
  <c r="K8" i="1"/>
  <c r="L8" i="1" s="1"/>
  <c r="K7" i="1"/>
  <c r="K6" i="1"/>
  <c r="L6" i="1" s="1"/>
  <c r="K5" i="1"/>
  <c r="K4" i="1"/>
  <c r="K3" i="1"/>
  <c r="I26" i="1"/>
  <c r="I25" i="1"/>
  <c r="I24" i="1"/>
  <c r="I23" i="1"/>
  <c r="I22" i="1"/>
  <c r="I21" i="1"/>
  <c r="I20" i="1"/>
  <c r="I19" i="1"/>
  <c r="J19" i="1" s="1"/>
  <c r="I18" i="1"/>
  <c r="J18" i="1" s="1"/>
  <c r="I17" i="1"/>
  <c r="I16" i="1"/>
  <c r="I15" i="1"/>
  <c r="I14" i="1"/>
  <c r="J14" i="1" s="1"/>
  <c r="I13" i="1"/>
  <c r="J13" i="1" s="1"/>
  <c r="I12" i="1"/>
  <c r="I11" i="1"/>
  <c r="I10" i="1"/>
  <c r="I9" i="1"/>
  <c r="J9" i="1" s="1"/>
  <c r="I8" i="1"/>
  <c r="J8" i="1" s="1"/>
  <c r="I7" i="1"/>
  <c r="I6" i="1"/>
  <c r="I5" i="1"/>
  <c r="I4" i="1"/>
  <c r="I3" i="1"/>
  <c r="G26" i="1"/>
  <c r="G25" i="1"/>
  <c r="G24" i="1"/>
  <c r="H24" i="1" s="1"/>
  <c r="G23" i="1"/>
  <c r="H23" i="1" s="1"/>
  <c r="G22" i="1"/>
  <c r="G21" i="1"/>
  <c r="G20" i="1"/>
  <c r="G19" i="1"/>
  <c r="H19" i="1" s="1"/>
  <c r="G18" i="1"/>
  <c r="H18" i="1" s="1"/>
  <c r="G17" i="1"/>
  <c r="H17" i="1" s="1"/>
  <c r="G16" i="1"/>
  <c r="G15" i="1"/>
  <c r="G14" i="1"/>
  <c r="G13" i="1"/>
  <c r="H13" i="1" s="1"/>
  <c r="G12" i="1"/>
  <c r="G11" i="1"/>
  <c r="G10" i="1"/>
  <c r="G9" i="1"/>
  <c r="G8" i="1"/>
  <c r="G7" i="1"/>
  <c r="G6" i="1"/>
  <c r="G4" i="1"/>
  <c r="H4" i="1" s="1"/>
  <c r="G3" i="1"/>
  <c r="H3" i="1" s="1"/>
  <c r="E26" i="1"/>
  <c r="E25" i="1"/>
  <c r="E24" i="1"/>
  <c r="F24" i="1" s="1"/>
  <c r="E23" i="1"/>
  <c r="E22" i="1"/>
  <c r="E21" i="1"/>
  <c r="E20" i="1"/>
  <c r="F20" i="1" s="1"/>
  <c r="E19" i="1"/>
  <c r="F19" i="1" s="1"/>
  <c r="E18" i="1"/>
  <c r="E17" i="1"/>
  <c r="F17" i="1" s="1"/>
  <c r="E16" i="1"/>
  <c r="E15" i="1"/>
  <c r="E14" i="1"/>
  <c r="F14" i="1" s="1"/>
  <c r="E13" i="1"/>
  <c r="E12" i="1"/>
  <c r="E11" i="1"/>
  <c r="E10" i="1"/>
  <c r="F9" i="1"/>
  <c r="E8" i="1"/>
  <c r="F8" i="1" s="1"/>
  <c r="E7" i="1"/>
  <c r="E6" i="1"/>
  <c r="F6" i="1" s="1"/>
  <c r="E5" i="1"/>
  <c r="E4" i="1"/>
  <c r="F4" i="1" s="1"/>
  <c r="E3" i="1"/>
  <c r="L26" i="1"/>
  <c r="L4" i="1"/>
  <c r="L5" i="1"/>
  <c r="L7" i="1"/>
  <c r="L10" i="1"/>
  <c r="L12" i="1"/>
  <c r="L13" i="1"/>
  <c r="L14" i="1"/>
  <c r="L15" i="1"/>
  <c r="L16" i="1"/>
  <c r="L17" i="1"/>
  <c r="L19" i="1"/>
  <c r="L20" i="1"/>
  <c r="L21" i="1"/>
  <c r="L22" i="1"/>
  <c r="L23" i="1"/>
  <c r="L24" i="1"/>
  <c r="L25" i="1"/>
  <c r="L3" i="1"/>
  <c r="J4" i="1"/>
  <c r="J5" i="1"/>
  <c r="J6" i="1"/>
  <c r="J7" i="1"/>
  <c r="J10" i="1"/>
  <c r="J11" i="1"/>
  <c r="J12" i="1"/>
  <c r="J15" i="1"/>
  <c r="J16" i="1"/>
  <c r="J17" i="1"/>
  <c r="J20" i="1"/>
  <c r="J21" i="1"/>
  <c r="J22" i="1"/>
  <c r="J23" i="1"/>
  <c r="J24" i="1"/>
  <c r="J25" i="1"/>
  <c r="J3" i="1"/>
  <c r="J26" i="1"/>
  <c r="H5" i="1"/>
  <c r="H6" i="1"/>
  <c r="H7" i="1"/>
  <c r="H8" i="1"/>
  <c r="H9" i="1"/>
  <c r="H10" i="1"/>
  <c r="H11" i="1"/>
  <c r="H12" i="1"/>
  <c r="H14" i="1"/>
  <c r="H15" i="1"/>
  <c r="H16" i="1"/>
  <c r="H20" i="1"/>
  <c r="H21" i="1"/>
  <c r="H22" i="1"/>
  <c r="H25" i="1"/>
  <c r="H26" i="1"/>
  <c r="F5" i="1"/>
  <c r="F7" i="1"/>
  <c r="F10" i="1"/>
  <c r="F11" i="1"/>
  <c r="F12" i="1"/>
  <c r="F13" i="1"/>
  <c r="F15" i="1"/>
  <c r="F16" i="1"/>
  <c r="F18" i="1"/>
  <c r="F21" i="1"/>
  <c r="F22" i="1"/>
  <c r="F23" i="1"/>
  <c r="F25" i="1"/>
  <c r="F26" i="1"/>
  <c r="F26" i="2"/>
  <c r="F25" i="2"/>
  <c r="F24" i="2"/>
  <c r="B9" i="4"/>
  <c r="B10" i="4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8" i="1"/>
  <c r="G47" i="1"/>
  <c r="G46" i="1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45" i="2"/>
  <c r="M46" i="2"/>
  <c r="M47" i="2"/>
  <c r="N47" i="2" s="1"/>
  <c r="M48" i="2"/>
  <c r="N48" i="2" s="1"/>
  <c r="M49" i="2"/>
  <c r="N49" i="2" s="1"/>
  <c r="M50" i="2"/>
  <c r="N50" i="2" s="1"/>
  <c r="M51" i="2"/>
  <c r="N51" i="2" s="1"/>
  <c r="M52" i="2"/>
  <c r="M53" i="2"/>
  <c r="N53" i="2" s="1"/>
  <c r="M54" i="2"/>
  <c r="N54" i="2" s="1"/>
  <c r="M55" i="2"/>
  <c r="N55" i="2" s="1"/>
  <c r="M56" i="2"/>
  <c r="N56" i="2" s="1"/>
  <c r="M57" i="2"/>
  <c r="N57" i="2" s="1"/>
  <c r="M58" i="2"/>
  <c r="M59" i="2"/>
  <c r="N59" i="2" s="1"/>
  <c r="M60" i="2"/>
  <c r="M61" i="2"/>
  <c r="N61" i="2" s="1"/>
  <c r="M62" i="2"/>
  <c r="M63" i="2"/>
  <c r="N63" i="2" s="1"/>
  <c r="M64" i="2"/>
  <c r="N64" i="2" s="1"/>
  <c r="M65" i="2"/>
  <c r="N65" i="2" s="1"/>
  <c r="M45" i="2"/>
  <c r="N45" i="2" s="1"/>
  <c r="N46" i="2"/>
  <c r="N62" i="2"/>
  <c r="F65" i="2"/>
  <c r="F64" i="2"/>
  <c r="F63" i="2"/>
  <c r="F62" i="2"/>
  <c r="F61" i="2"/>
  <c r="N60" i="2"/>
  <c r="F60" i="2"/>
  <c r="F59" i="2"/>
  <c r="N58" i="2"/>
  <c r="F58" i="2"/>
  <c r="H58" i="2" s="1"/>
  <c r="F57" i="2"/>
  <c r="H57" i="2" s="1"/>
  <c r="F56" i="2"/>
  <c r="F55" i="2"/>
  <c r="H55" i="2" s="1"/>
  <c r="F54" i="2"/>
  <c r="F53" i="2"/>
  <c r="N52" i="2"/>
  <c r="F52" i="2"/>
  <c r="F51" i="2"/>
  <c r="F50" i="2"/>
  <c r="F49" i="2"/>
  <c r="F48" i="2"/>
  <c r="F47" i="2"/>
  <c r="H47" i="2" s="1"/>
  <c r="F46" i="2"/>
  <c r="F45" i="2"/>
  <c r="M47" i="1"/>
  <c r="N47" i="1" s="1"/>
  <c r="M48" i="1"/>
  <c r="N48" i="1" s="1"/>
  <c r="M49" i="1"/>
  <c r="N49" i="1" s="1"/>
  <c r="M50" i="1"/>
  <c r="N50" i="1" s="1"/>
  <c r="M51" i="1"/>
  <c r="N51" i="1" s="1"/>
  <c r="M58" i="1"/>
  <c r="N58" i="1" s="1"/>
  <c r="M59" i="1"/>
  <c r="N59" i="1" s="1"/>
  <c r="M60" i="1"/>
  <c r="N60" i="1" s="1"/>
  <c r="M61" i="1"/>
  <c r="N61" i="1" s="1"/>
  <c r="O61" i="1" s="1"/>
  <c r="L86" i="1" s="1"/>
  <c r="O86" i="1" s="1"/>
  <c r="M62" i="1"/>
  <c r="N62" i="1" s="1"/>
  <c r="O62" i="1" s="1"/>
  <c r="L87" i="1" s="1"/>
  <c r="O87" i="1" s="1"/>
  <c r="M63" i="1"/>
  <c r="N63" i="1" s="1"/>
  <c r="O63" i="1" s="1"/>
  <c r="L88" i="1" s="1"/>
  <c r="O88" i="1" s="1"/>
  <c r="M64" i="1"/>
  <c r="N64" i="1" s="1"/>
  <c r="M65" i="1"/>
  <c r="N65" i="1" s="1"/>
  <c r="M66" i="1"/>
  <c r="N66" i="1" s="1"/>
  <c r="M46" i="1"/>
  <c r="N46" i="1" s="1"/>
  <c r="E21" i="14" l="1"/>
  <c r="E35" i="14"/>
  <c r="E35" i="12"/>
  <c r="E34" i="12"/>
  <c r="E18" i="12"/>
  <c r="E12" i="11"/>
  <c r="F12" i="11" s="1"/>
  <c r="E19" i="11"/>
  <c r="F19" i="11" s="1"/>
  <c r="E13" i="11"/>
  <c r="F13" i="11" s="1"/>
  <c r="E20" i="11"/>
  <c r="F20" i="11" s="1"/>
  <c r="E21" i="11"/>
  <c r="F21" i="11" s="1"/>
  <c r="E27" i="11"/>
  <c r="F27" i="11" s="1"/>
  <c r="H21" i="6"/>
  <c r="F15" i="6"/>
  <c r="M21" i="6"/>
  <c r="N21" i="6" s="1"/>
  <c r="O21" i="6" s="1"/>
  <c r="H23" i="6"/>
  <c r="M23" i="6"/>
  <c r="N23" i="6" s="1"/>
  <c r="O23" i="6" s="1"/>
  <c r="M22" i="6"/>
  <c r="N22" i="6" s="1"/>
  <c r="O22" i="6" s="1"/>
  <c r="E28" i="6"/>
  <c r="H22" i="6"/>
  <c r="O28" i="6"/>
  <c r="E27" i="6"/>
  <c r="L79" i="1"/>
  <c r="O79" i="1" s="1"/>
  <c r="P79" i="1" s="1"/>
  <c r="L80" i="1"/>
  <c r="O80" i="1" s="1"/>
  <c r="O78" i="1"/>
  <c r="L82" i="1"/>
  <c r="O82" i="1" s="1"/>
  <c r="P82" i="1" s="1"/>
  <c r="L81" i="1"/>
  <c r="O81" i="1" s="1"/>
  <c r="P81" i="1" s="1"/>
  <c r="L77" i="1"/>
  <c r="O77" i="1" s="1"/>
  <c r="N79" i="1"/>
  <c r="V104" i="1"/>
  <c r="U104" i="1"/>
  <c r="O104" i="1"/>
  <c r="M79" i="1"/>
  <c r="Q104" i="1"/>
  <c r="K87" i="1"/>
  <c r="N87" i="1" s="1"/>
  <c r="M78" i="1"/>
  <c r="R104" i="1"/>
  <c r="I86" i="1"/>
  <c r="K107" i="1"/>
  <c r="M103" i="1"/>
  <c r="K108" i="1"/>
  <c r="N103" i="1"/>
  <c r="K103" i="1"/>
  <c r="I108" i="1"/>
  <c r="J108" i="1"/>
  <c r="G105" i="1"/>
  <c r="G104" i="1"/>
  <c r="G108" i="1"/>
  <c r="G87" i="1"/>
  <c r="G107" i="1"/>
  <c r="F103" i="1"/>
  <c r="E103" i="1"/>
  <c r="W108" i="1"/>
  <c r="X108" i="1"/>
  <c r="G84" i="1"/>
  <c r="M84" i="1"/>
  <c r="E84" i="1"/>
  <c r="E77" i="1"/>
  <c r="M77" i="1"/>
  <c r="M91" i="1"/>
  <c r="G91" i="1"/>
  <c r="G83" i="1"/>
  <c r="M83" i="1"/>
  <c r="M89" i="1"/>
  <c r="I89" i="1"/>
  <c r="E91" i="1"/>
  <c r="I76" i="1"/>
  <c r="M76" i="1"/>
  <c r="G77" i="1"/>
  <c r="E83" i="1"/>
  <c r="I84" i="1"/>
  <c r="E89" i="1"/>
  <c r="I77" i="1"/>
  <c r="I82" i="1"/>
  <c r="M82" i="1"/>
  <c r="K84" i="1"/>
  <c r="N84" i="1" s="1"/>
  <c r="G89" i="1"/>
  <c r="I91" i="1"/>
  <c r="M75" i="1"/>
  <c r="G75" i="1"/>
  <c r="I75" i="1"/>
  <c r="N104" i="1" s="1"/>
  <c r="G76" i="1"/>
  <c r="K77" i="1"/>
  <c r="E82" i="1"/>
  <c r="I83" i="1"/>
  <c r="K91" i="1"/>
  <c r="N91" i="1" s="1"/>
  <c r="E75" i="1"/>
  <c r="M81" i="1"/>
  <c r="T106" i="1" s="1"/>
  <c r="I81" i="1"/>
  <c r="G82" i="1"/>
  <c r="J106" i="1" s="1"/>
  <c r="K83" i="1"/>
  <c r="M85" i="1"/>
  <c r="E85" i="1"/>
  <c r="K89" i="1"/>
  <c r="M74" i="1"/>
  <c r="M71" i="1"/>
  <c r="K73" i="1"/>
  <c r="N73" i="1" s="1"/>
  <c r="M87" i="1"/>
  <c r="T108" i="1" s="1"/>
  <c r="K78" i="1"/>
  <c r="I80" i="1"/>
  <c r="K86" i="1"/>
  <c r="I88" i="1"/>
  <c r="G90" i="1"/>
  <c r="K72" i="1"/>
  <c r="K80" i="1"/>
  <c r="K88" i="1"/>
  <c r="N88" i="1" s="1"/>
  <c r="H65" i="2"/>
  <c r="H64" i="2"/>
  <c r="H63" i="2"/>
  <c r="H62" i="2"/>
  <c r="H61" i="2"/>
  <c r="H60" i="2"/>
  <c r="H59" i="2"/>
  <c r="H56" i="2"/>
  <c r="H54" i="2"/>
  <c r="H53" i="2"/>
  <c r="H52" i="2"/>
  <c r="H51" i="2"/>
  <c r="H50" i="2"/>
  <c r="H49" i="2"/>
  <c r="H48" i="2"/>
  <c r="H46" i="2"/>
  <c r="H45" i="2"/>
  <c r="F3" i="2"/>
  <c r="F18" i="2"/>
  <c r="F10" i="2"/>
  <c r="H26" i="2"/>
  <c r="H18" i="2"/>
  <c r="H10" i="2"/>
  <c r="L3" i="2"/>
  <c r="J19" i="2"/>
  <c r="J11" i="2"/>
  <c r="L26" i="2"/>
  <c r="L18" i="2"/>
  <c r="L10" i="2"/>
  <c r="F17" i="2"/>
  <c r="F9" i="2"/>
  <c r="H25" i="2"/>
  <c r="H17" i="2"/>
  <c r="H9" i="2"/>
  <c r="J26" i="2"/>
  <c r="J18" i="2"/>
  <c r="J10" i="2"/>
  <c r="L25" i="2"/>
  <c r="L17" i="2"/>
  <c r="L9" i="2"/>
  <c r="F16" i="2"/>
  <c r="F8" i="2"/>
  <c r="H24" i="2"/>
  <c r="H16" i="2"/>
  <c r="H8" i="2"/>
  <c r="J25" i="2"/>
  <c r="J17" i="2"/>
  <c r="J9" i="2"/>
  <c r="L24" i="2"/>
  <c r="L16" i="2"/>
  <c r="L8" i="2"/>
  <c r="L6" i="2"/>
  <c r="L5" i="2"/>
  <c r="F23" i="2"/>
  <c r="F7" i="2"/>
  <c r="H15" i="2"/>
  <c r="J24" i="2"/>
  <c r="J8" i="2"/>
  <c r="L15" i="2"/>
  <c r="F14" i="2"/>
  <c r="H22" i="2"/>
  <c r="J23" i="2"/>
  <c r="J7" i="2"/>
  <c r="L14" i="2"/>
  <c r="F13" i="2"/>
  <c r="H13" i="2"/>
  <c r="J22" i="2"/>
  <c r="J6" i="2"/>
  <c r="L13" i="2"/>
  <c r="F20" i="2"/>
  <c r="F12" i="2"/>
  <c r="F4" i="2"/>
  <c r="H20" i="2"/>
  <c r="H12" i="2"/>
  <c r="H4" i="2"/>
  <c r="J21" i="2"/>
  <c r="J13" i="2"/>
  <c r="J5" i="2"/>
  <c r="L20" i="2"/>
  <c r="L12" i="2"/>
  <c r="L4" i="2"/>
  <c r="F15" i="2"/>
  <c r="H23" i="2"/>
  <c r="H7" i="2"/>
  <c r="J16" i="2"/>
  <c r="L23" i="2"/>
  <c r="L7" i="2"/>
  <c r="F22" i="2"/>
  <c r="F6" i="2"/>
  <c r="H14" i="2"/>
  <c r="H6" i="2"/>
  <c r="J15" i="2"/>
  <c r="L22" i="2"/>
  <c r="F21" i="2"/>
  <c r="F5" i="2"/>
  <c r="H21" i="2"/>
  <c r="H5" i="2"/>
  <c r="J14" i="2"/>
  <c r="L21" i="2"/>
  <c r="F19" i="2"/>
  <c r="F11" i="2"/>
  <c r="H3" i="2"/>
  <c r="H19" i="2"/>
  <c r="H11" i="2"/>
  <c r="J3" i="2"/>
  <c r="J20" i="2"/>
  <c r="J12" i="2"/>
  <c r="J4" i="2"/>
  <c r="L19" i="2"/>
  <c r="L11" i="2"/>
  <c r="H50" i="1"/>
  <c r="H46" i="1"/>
  <c r="F47" i="1"/>
  <c r="H47" i="1" s="1"/>
  <c r="F48" i="1"/>
  <c r="H48" i="1" s="1"/>
  <c r="F49" i="1"/>
  <c r="H49" i="1" s="1"/>
  <c r="F50" i="1"/>
  <c r="F51" i="1"/>
  <c r="H51" i="1" s="1"/>
  <c r="F52" i="1"/>
  <c r="H52" i="1" s="1"/>
  <c r="F53" i="1"/>
  <c r="H53" i="1" s="1"/>
  <c r="F54" i="1"/>
  <c r="H54" i="1" s="1"/>
  <c r="F55" i="1"/>
  <c r="H55" i="1" s="1"/>
  <c r="F56" i="1"/>
  <c r="H56" i="1" s="1"/>
  <c r="F57" i="1"/>
  <c r="H57" i="1" s="1"/>
  <c r="F58" i="1"/>
  <c r="H58" i="1" s="1"/>
  <c r="F59" i="1"/>
  <c r="H59" i="1" s="1"/>
  <c r="F60" i="1"/>
  <c r="H60" i="1" s="1"/>
  <c r="F61" i="1"/>
  <c r="H61" i="1" s="1"/>
  <c r="F62" i="1"/>
  <c r="H62" i="1" s="1"/>
  <c r="F63" i="1"/>
  <c r="H63" i="1" s="1"/>
  <c r="F64" i="1"/>
  <c r="H64" i="1" s="1"/>
  <c r="F65" i="1"/>
  <c r="H65" i="1" s="1"/>
  <c r="F66" i="1"/>
  <c r="H66" i="1" s="1"/>
  <c r="F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46" i="1"/>
  <c r="B24" i="4"/>
  <c r="B23" i="4"/>
  <c r="B32" i="3"/>
  <c r="B31" i="3"/>
  <c r="B9" i="3"/>
  <c r="B10" i="3"/>
  <c r="X105" i="1" l="1"/>
  <c r="W106" i="1"/>
  <c r="X106" i="1"/>
  <c r="W105" i="1"/>
  <c r="T104" i="1"/>
  <c r="S104" i="1"/>
  <c r="T107" i="1"/>
  <c r="S107" i="1"/>
  <c r="N86" i="1"/>
  <c r="R108" i="1"/>
  <c r="Q108" i="1"/>
  <c r="N78" i="1"/>
  <c r="P78" i="1"/>
  <c r="N83" i="1"/>
  <c r="R107" i="1"/>
  <c r="Q107" i="1"/>
  <c r="N77" i="1"/>
  <c r="R105" i="1"/>
  <c r="Q105" i="1"/>
  <c r="P77" i="1"/>
  <c r="T105" i="1"/>
  <c r="S105" i="1"/>
  <c r="S108" i="1"/>
  <c r="S106" i="1"/>
  <c r="N80" i="1"/>
  <c r="Q106" i="1"/>
  <c r="R106" i="1"/>
  <c r="P80" i="1"/>
  <c r="N89" i="1"/>
  <c r="R109" i="1"/>
  <c r="Q109" i="1"/>
  <c r="N72" i="1"/>
  <c r="R103" i="1"/>
  <c r="T109" i="1"/>
  <c r="S109" i="1"/>
  <c r="Q103" i="1"/>
  <c r="T103" i="1"/>
  <c r="S103" i="1"/>
  <c r="N107" i="1"/>
  <c r="M107" i="1"/>
  <c r="M106" i="1"/>
  <c r="N106" i="1"/>
  <c r="M104" i="1"/>
  <c r="M105" i="1"/>
  <c r="N105" i="1"/>
  <c r="N109" i="1"/>
  <c r="M109" i="1"/>
  <c r="N108" i="1"/>
  <c r="M108" i="1"/>
  <c r="J104" i="1"/>
  <c r="J107" i="1"/>
  <c r="I107" i="1"/>
  <c r="I104" i="1"/>
  <c r="I106" i="1"/>
  <c r="J109" i="1"/>
  <c r="I109" i="1"/>
  <c r="J105" i="1"/>
  <c r="I105" i="1"/>
  <c r="D33" i="2"/>
  <c r="C33" i="2"/>
  <c r="D38" i="2"/>
  <c r="H38" i="2"/>
  <c r="G38" i="2"/>
  <c r="I32" i="2"/>
  <c r="F37" i="2"/>
  <c r="B36" i="2"/>
  <c r="D36" i="2"/>
  <c r="F38" i="2"/>
  <c r="B31" i="2"/>
  <c r="F33" i="2"/>
  <c r="H33" i="2"/>
  <c r="U108" i="1" l="1"/>
  <c r="V108" i="1"/>
  <c r="U105" i="1"/>
  <c r="V105" i="1"/>
  <c r="V106" i="1"/>
  <c r="U106" i="1"/>
  <c r="U103" i="1"/>
  <c r="V103" i="1"/>
  <c r="V107" i="1"/>
  <c r="U107" i="1"/>
  <c r="V109" i="1"/>
  <c r="U109" i="1"/>
  <c r="H36" i="2"/>
  <c r="E31" i="2"/>
  <c r="D32" i="2"/>
  <c r="B33" i="2"/>
  <c r="I37" i="2"/>
  <c r="D37" i="2"/>
  <c r="B38" i="2"/>
  <c r="I31" i="2"/>
  <c r="G36" i="2"/>
  <c r="E37" i="2"/>
  <c r="E35" i="2"/>
  <c r="G37" i="2"/>
  <c r="E33" i="2"/>
  <c r="G35" i="2"/>
  <c r="H31" i="2"/>
  <c r="C38" i="2"/>
  <c r="D34" i="2"/>
  <c r="G32" i="2"/>
  <c r="C37" i="2"/>
  <c r="C31" i="2"/>
  <c r="D31" i="2"/>
  <c r="I35" i="2"/>
  <c r="C36" i="2"/>
  <c r="I38" i="2"/>
  <c r="E36" i="2"/>
  <c r="F31" i="2"/>
  <c r="H34" i="2"/>
  <c r="C32" i="2"/>
  <c r="C35" i="2"/>
  <c r="I33" i="2"/>
  <c r="F36" i="2"/>
  <c r="C34" i="2"/>
  <c r="G33" i="2"/>
  <c r="I36" i="2"/>
  <c r="D35" i="2"/>
  <c r="E34" i="2"/>
  <c r="E38" i="2"/>
  <c r="D31" i="1"/>
  <c r="G31" i="2"/>
  <c r="H35" i="2"/>
  <c r="H32" i="2"/>
  <c r="B37" i="2"/>
  <c r="F35" i="2"/>
  <c r="F32" i="2"/>
  <c r="B32" i="2"/>
  <c r="B34" i="2"/>
  <c r="E32" i="2"/>
  <c r="G34" i="2"/>
  <c r="F34" i="2"/>
  <c r="B35" i="2"/>
  <c r="I34" i="2"/>
  <c r="H37" i="2"/>
  <c r="I35" i="1"/>
  <c r="H35" i="1"/>
  <c r="G32" i="1"/>
  <c r="F32" i="1"/>
  <c r="D36" i="1"/>
  <c r="B37" i="1"/>
  <c r="C37" i="1"/>
  <c r="F35" i="1"/>
  <c r="G35" i="1"/>
  <c r="C31" i="1"/>
  <c r="B31" i="1"/>
  <c r="D35" i="1"/>
  <c r="E35" i="1"/>
  <c r="H33" i="1"/>
  <c r="I33" i="1"/>
  <c r="C35" i="1"/>
  <c r="B35" i="1"/>
  <c r="B33" i="1"/>
  <c r="C33" i="1"/>
  <c r="I37" i="1"/>
  <c r="H37" i="1"/>
  <c r="C34" i="1"/>
  <c r="B34" i="1"/>
  <c r="E33" i="1"/>
  <c r="D33" i="1"/>
  <c r="D34" i="1"/>
  <c r="G33" i="1"/>
  <c r="F33" i="1"/>
  <c r="H32" i="1"/>
  <c r="I32" i="1"/>
  <c r="H34" i="1"/>
  <c r="I34" i="1"/>
  <c r="C38" i="1"/>
  <c r="B38" i="1"/>
  <c r="E32" i="1"/>
  <c r="D32" i="1"/>
  <c r="G31" i="1"/>
  <c r="F31" i="1"/>
  <c r="D38" i="1"/>
  <c r="E38" i="1"/>
  <c r="E34" i="1"/>
  <c r="D37" i="1"/>
  <c r="E37" i="1"/>
  <c r="C32" i="1"/>
  <c r="B32" i="1"/>
  <c r="I38" i="1"/>
  <c r="H38" i="1"/>
  <c r="E36" i="1"/>
  <c r="F34" i="1"/>
  <c r="G34" i="1"/>
  <c r="C36" i="1"/>
  <c r="B36" i="1"/>
  <c r="I36" i="1"/>
  <c r="H36" i="1"/>
  <c r="F36" i="1"/>
  <c r="G36" i="1"/>
  <c r="E31" i="1"/>
  <c r="G37" i="1"/>
  <c r="F37" i="1"/>
  <c r="G38" i="1"/>
  <c r="F38" i="1"/>
  <c r="H31" i="1"/>
  <c r="I31" i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3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</futureMetadata>
  <valueMetadata count="3">
    <bk>
      <rc t="1" v="0"/>
    </bk>
    <bk>
      <rc t="1" v="1"/>
    </bk>
    <bk>
      <rc t="1" v="2"/>
    </bk>
  </valueMetadata>
</metadata>
</file>

<file path=xl/sharedStrings.xml><?xml version="1.0" encoding="utf-8"?>
<sst xmlns="http://schemas.openxmlformats.org/spreadsheetml/2006/main" count="676" uniqueCount="152">
  <si>
    <t xml:space="preserve">Sample </t>
  </si>
  <si>
    <t xml:space="preserve">Vial </t>
  </si>
  <si>
    <t>Carbon</t>
  </si>
  <si>
    <t>N1240 - 1</t>
  </si>
  <si>
    <t>R - 1</t>
  </si>
  <si>
    <t>R - 2</t>
  </si>
  <si>
    <t>R - 3</t>
  </si>
  <si>
    <t>N1240 - 2</t>
  </si>
  <si>
    <t>N1240 - 3</t>
  </si>
  <si>
    <t>N830 - 1</t>
  </si>
  <si>
    <t>N830 - 2</t>
  </si>
  <si>
    <t>N830 - 3</t>
  </si>
  <si>
    <t>AC - 1</t>
  </si>
  <si>
    <t>AC - 2</t>
  </si>
  <si>
    <t>AC - 3</t>
  </si>
  <si>
    <t>WC - S1</t>
  </si>
  <si>
    <t>WC - S2</t>
  </si>
  <si>
    <t>WC - S3</t>
  </si>
  <si>
    <t>WC - 1</t>
  </si>
  <si>
    <t>WC - 2</t>
  </si>
  <si>
    <t>WC - 3</t>
  </si>
  <si>
    <t>W - 1</t>
  </si>
  <si>
    <t>W - 2</t>
  </si>
  <si>
    <t>W - 3</t>
  </si>
  <si>
    <t>RC - 1</t>
  </si>
  <si>
    <t>RC - 2</t>
  </si>
  <si>
    <t>RC - 3</t>
  </si>
  <si>
    <t>W - S1</t>
  </si>
  <si>
    <t>W - S2</t>
  </si>
  <si>
    <t>W - S3</t>
  </si>
  <si>
    <t>RC - S1</t>
  </si>
  <si>
    <t>RC - S2</t>
  </si>
  <si>
    <t>RC - S3</t>
  </si>
  <si>
    <t>R - S1</t>
  </si>
  <si>
    <t>R - S2</t>
  </si>
  <si>
    <t>R - S3</t>
  </si>
  <si>
    <t>N1240 - S1</t>
  </si>
  <si>
    <t>N830 - S1</t>
  </si>
  <si>
    <t>AC - S1</t>
  </si>
  <si>
    <t>C - S1</t>
  </si>
  <si>
    <t>N1240 - S2</t>
  </si>
  <si>
    <t>N1240 - S3</t>
  </si>
  <si>
    <t>N830 - S2</t>
  </si>
  <si>
    <t>N830 - S3</t>
  </si>
  <si>
    <t>AC - S2</t>
  </si>
  <si>
    <t>AC - S3</t>
  </si>
  <si>
    <t>C - S2</t>
  </si>
  <si>
    <t>C - S3</t>
  </si>
  <si>
    <t>C - 1</t>
  </si>
  <si>
    <t>C - 2</t>
  </si>
  <si>
    <t>C - 3</t>
  </si>
  <si>
    <t>TNT and water mix (L)</t>
  </si>
  <si>
    <t>TNT</t>
  </si>
  <si>
    <t>Area</t>
  </si>
  <si>
    <t>C mg/L</t>
  </si>
  <si>
    <t>Slope</t>
  </si>
  <si>
    <t>Intercept</t>
  </si>
  <si>
    <t>Area 1</t>
  </si>
  <si>
    <t>Area 2</t>
  </si>
  <si>
    <t>Area 3</t>
  </si>
  <si>
    <t>Area 4</t>
  </si>
  <si>
    <t>C calculated</t>
  </si>
  <si>
    <t>AVERAGE</t>
  </si>
  <si>
    <t xml:space="preserve">WC </t>
  </si>
  <si>
    <t xml:space="preserve">W </t>
  </si>
  <si>
    <t xml:space="preserve">RC </t>
  </si>
  <si>
    <t>R</t>
  </si>
  <si>
    <t xml:space="preserve">N1240 </t>
  </si>
  <si>
    <t xml:space="preserve">N830 </t>
  </si>
  <si>
    <t xml:space="preserve">AC </t>
  </si>
  <si>
    <t xml:space="preserve">C </t>
  </si>
  <si>
    <t>C 1</t>
  </si>
  <si>
    <t>SD</t>
  </si>
  <si>
    <t>C2</t>
  </si>
  <si>
    <t>C3</t>
  </si>
  <si>
    <t>C4</t>
  </si>
  <si>
    <t xml:space="preserve">DistilledWater and TNT experiment - Carbon absorption </t>
  </si>
  <si>
    <t xml:space="preserve">Sea Water and TNT experiment - Carbon absorption </t>
  </si>
  <si>
    <t xml:space="preserve">Carbon Extraction after absorption experiment </t>
  </si>
  <si>
    <t>Carbon WET</t>
  </si>
  <si>
    <t xml:space="preserve">Carbon WET + Vial </t>
  </si>
  <si>
    <t>Carbon DRY</t>
  </si>
  <si>
    <t xml:space="preserve">Calibration Absorption Exper. </t>
  </si>
  <si>
    <t xml:space="preserve">Calibration Extraction Exper. </t>
  </si>
  <si>
    <t>C (mg/L)</t>
  </si>
  <si>
    <t>Filter</t>
  </si>
  <si>
    <t>CARB WET+Filter</t>
  </si>
  <si>
    <t>Carbon WET (in vial)</t>
  </si>
  <si>
    <t>Loss of water (g)</t>
  </si>
  <si>
    <t>Carbon weight for extraction</t>
  </si>
  <si>
    <t>C (mg/kg)</t>
  </si>
  <si>
    <t>ACN added (L)</t>
  </si>
  <si>
    <t>Vial (g)</t>
  </si>
  <si>
    <t>Vial (gr)</t>
  </si>
  <si>
    <t xml:space="preserve">Sample Name </t>
  </si>
  <si>
    <t>TNT at T1</t>
  </si>
  <si>
    <t>TNT at T2</t>
  </si>
  <si>
    <t>TNT at T3</t>
  </si>
  <si>
    <t>TNT at T4</t>
  </si>
  <si>
    <t xml:space="preserve">TNT in carbon </t>
  </si>
  <si>
    <t>Mass balances and merged data</t>
  </si>
  <si>
    <t>C calculated mg/L</t>
  </si>
  <si>
    <t xml:space="preserve">Seawater Density </t>
  </si>
  <si>
    <t>Kg/L</t>
  </si>
  <si>
    <t>mg/L</t>
  </si>
  <si>
    <t>TNT in water (g/L)</t>
  </si>
  <si>
    <t>TNT in water (g in 50 mL)</t>
  </si>
  <si>
    <t>TNT remaining  after T1</t>
  </si>
  <si>
    <t>TNT remaining  after T2</t>
  </si>
  <si>
    <t>TNT remaining  after T3</t>
  </si>
  <si>
    <t>TNT remaining  after T4</t>
  </si>
  <si>
    <t>Total loss (g)</t>
  </si>
  <si>
    <t>Total Loss in water  %</t>
  </si>
  <si>
    <t>TNT in Carbon %</t>
  </si>
  <si>
    <t>C (mg/g)</t>
  </si>
  <si>
    <t>TNT in carbon (g)</t>
  </si>
  <si>
    <t>TNT remaining  after T1 %</t>
  </si>
  <si>
    <t>TNT remaining  after T2 %</t>
  </si>
  <si>
    <t>TNT remaining  after T3 %</t>
  </si>
  <si>
    <t>TNT remaining  after T4 %</t>
  </si>
  <si>
    <t>missing TNT</t>
  </si>
  <si>
    <t>TNT at T1 (g)</t>
  </si>
  <si>
    <t xml:space="preserve">TNT calibration </t>
  </si>
  <si>
    <t xml:space="preserve">Timklin Isotherms </t>
  </si>
  <si>
    <t xml:space="preserve">Freundlich Isotherms </t>
  </si>
  <si>
    <t>Ln Ce</t>
  </si>
  <si>
    <t>qe (mg/g)</t>
  </si>
  <si>
    <t>Material</t>
  </si>
  <si>
    <t>Sea Water</t>
  </si>
  <si>
    <t>Lg Ce</t>
  </si>
  <si>
    <t xml:space="preserve">Carbon (g) </t>
  </si>
  <si>
    <t>Adsorb x/m (mg/g of AC)</t>
  </si>
  <si>
    <t>R2</t>
  </si>
  <si>
    <t>Lg x/m (qe)</t>
  </si>
  <si>
    <t>Log K</t>
  </si>
  <si>
    <t>n</t>
  </si>
  <si>
    <t>K</t>
  </si>
  <si>
    <t>1/n</t>
  </si>
  <si>
    <t xml:space="preserve">Leingmour Isotherms </t>
  </si>
  <si>
    <t>Adsorb 1/x/m (mg/g of AC)</t>
  </si>
  <si>
    <t>1/C4</t>
  </si>
  <si>
    <t>1/Q0</t>
  </si>
  <si>
    <t>1/KL</t>
  </si>
  <si>
    <t>Q0</t>
  </si>
  <si>
    <t>KL</t>
  </si>
  <si>
    <t xml:space="preserve">Ci </t>
  </si>
  <si>
    <t>Ce</t>
  </si>
  <si>
    <t>BT</t>
  </si>
  <si>
    <t>KT</t>
  </si>
  <si>
    <t>Ci</t>
  </si>
  <si>
    <t>LOD</t>
  </si>
  <si>
    <t>LOQ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</si>
</sst>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0.0000"/>
    <numFmt numFmtId="166" formatCode="0.0%"/>
    <numFmt numFmtId="167" formatCode="0.00000"/>
    <numFmt numFmtId="168" formatCode="0.0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81">
    <xf numFmtId="0" fontId="0" fillId="0" borderId="0" xfId="0"/>
    <xf numFmtId="0" fontId="1" fillId="0" borderId="0" xfId="0" applyFont="1"/>
    <xf numFmtId="2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0" xfId="0" applyFont="1"/>
    <xf numFmtId="2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65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/>
    <xf numFmtId="0" fontId="1" fillId="0" borderId="7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/>
    <xf numFmtId="9" fontId="0" fillId="0" borderId="0" xfId="1" applyFont="1" applyAlignment="1">
      <alignment horizontal="center"/>
    </xf>
    <xf numFmtId="166" fontId="0" fillId="0" borderId="0" xfId="1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9" fontId="0" fillId="0" borderId="0" xfId="1" applyFont="1"/>
    <xf numFmtId="166" fontId="0" fillId="0" borderId="0" xfId="1" applyNumberFormat="1" applyFont="1" applyAlignment="1">
      <alignment horizontal="center" vertical="center"/>
    </xf>
    <xf numFmtId="9" fontId="0" fillId="0" borderId="0" xfId="1" applyFon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66" fontId="0" fillId="0" borderId="0" xfId="0" applyNumberFormat="1"/>
    <xf numFmtId="9" fontId="0" fillId="0" borderId="0" xfId="0" applyNumberFormat="1"/>
    <xf numFmtId="166" fontId="0" fillId="0" borderId="0" xfId="1" applyNumberFormat="1" applyFont="1"/>
    <xf numFmtId="168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165" fontId="0" fillId="0" borderId="0" xfId="0" applyNumberFormat="1"/>
    <xf numFmtId="0" fontId="0" fillId="0" borderId="4" xfId="0" applyBorder="1"/>
    <xf numFmtId="0" fontId="0" fillId="0" borderId="22" xfId="0" applyBorder="1"/>
    <xf numFmtId="0" fontId="1" fillId="0" borderId="21" xfId="0" applyFont="1" applyBorder="1" applyAlignment="1">
      <alignment horizontal="right"/>
    </xf>
    <xf numFmtId="0" fontId="1" fillId="0" borderId="7" xfId="0" applyFont="1" applyBorder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4" fillId="9" borderId="18" xfId="0" applyFont="1" applyFill="1" applyBorder="1" applyAlignment="1">
      <alignment horizontal="center"/>
    </xf>
    <xf numFmtId="0" fontId="4" fillId="9" borderId="19" xfId="0" applyFont="1" applyFill="1" applyBorder="1" applyAlignment="1">
      <alignment horizontal="center"/>
    </xf>
    <xf numFmtId="0" fontId="4" fillId="9" borderId="20" xfId="0" applyFont="1" applyFill="1" applyBorder="1" applyAlignment="1">
      <alignment horizontal="center"/>
    </xf>
    <xf numFmtId="0" fontId="0" fillId="7" borderId="10" xfId="0" applyFill="1" applyBorder="1" applyAlignment="1">
      <alignment horizontal="center"/>
    </xf>
    <xf numFmtId="0" fontId="0" fillId="7" borderId="11" xfId="0" applyFill="1" applyBorder="1" applyAlignment="1">
      <alignment horizontal="center"/>
    </xf>
    <xf numFmtId="0" fontId="0" fillId="7" borderId="12" xfId="0" applyFill="1" applyBorder="1" applyAlignment="1">
      <alignment horizontal="center"/>
    </xf>
    <xf numFmtId="0" fontId="0" fillId="7" borderId="13" xfId="0" applyFill="1" applyBorder="1" applyAlignment="1">
      <alignment horizontal="center"/>
    </xf>
    <xf numFmtId="0" fontId="0" fillId="7" borderId="0" xfId="0" applyFill="1" applyAlignment="1">
      <alignment horizontal="center"/>
    </xf>
    <xf numFmtId="0" fontId="0" fillId="7" borderId="14" xfId="0" applyFill="1" applyBorder="1" applyAlignment="1">
      <alignment horizontal="center"/>
    </xf>
    <xf numFmtId="0" fontId="0" fillId="7" borderId="15" xfId="0" applyFill="1" applyBorder="1" applyAlignment="1">
      <alignment horizontal="center"/>
    </xf>
    <xf numFmtId="0" fontId="0" fillId="7" borderId="16" xfId="0" applyFill="1" applyBorder="1" applyAlignment="1">
      <alignment horizontal="center"/>
    </xf>
    <xf numFmtId="0" fontId="0" fillId="7" borderId="17" xfId="0" applyFill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4" fillId="6" borderId="18" xfId="0" applyFont="1" applyFill="1" applyBorder="1" applyAlignment="1">
      <alignment horizontal="center"/>
    </xf>
    <xf numFmtId="0" fontId="4" fillId="6" borderId="19" xfId="0" applyFont="1" applyFill="1" applyBorder="1" applyAlignment="1">
      <alignment horizontal="center"/>
    </xf>
    <xf numFmtId="0" fontId="4" fillId="6" borderId="20" xfId="0" applyFont="1" applyFill="1" applyBorder="1" applyAlignment="1">
      <alignment horizontal="center"/>
    </xf>
    <xf numFmtId="0" fontId="4" fillId="8" borderId="18" xfId="0" applyFont="1" applyFill="1" applyBorder="1" applyAlignment="1">
      <alignment horizontal="center"/>
    </xf>
    <xf numFmtId="0" fontId="4" fillId="8" borderId="19" xfId="0" applyFont="1" applyFill="1" applyBorder="1" applyAlignment="1">
      <alignment horizontal="center"/>
    </xf>
    <xf numFmtId="0" fontId="4" fillId="8" borderId="20" xfId="0" applyFont="1" applyFill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F0066"/>
      <color rgb="FFCC00FF"/>
      <color rgb="FF9999FF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17/06/relationships/rdRichValue" Target="richData/rdrichvalue.xml"/><Relationship Id="rId2" Type="http://schemas.openxmlformats.org/officeDocument/2006/relationships/worksheet" Target="worksheets/sheet2.xml"/><Relationship Id="rId16" Type="http://schemas.microsoft.com/office/2022/10/relationships/richValueRel" Target="richData/richValueRel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microsoft.com/office/2017/06/relationships/rdRichValueTypes" Target="richData/rdRichValueTyp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Relationship Id="rId22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TNT calibration</a:t>
            </a:r>
            <a:r>
              <a:rPr lang="en-GB" baseline="0"/>
              <a:t>  Abs. Distilled Water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'Calibration Distilled Water'!$B$3:$B$7</c:f>
              <c:numCache>
                <c:formatCode>General</c:formatCode>
                <c:ptCount val="5"/>
                <c:pt idx="0">
                  <c:v>25</c:v>
                </c:pt>
                <c:pt idx="1">
                  <c:v>12.5</c:v>
                </c:pt>
                <c:pt idx="2">
                  <c:v>5</c:v>
                </c:pt>
                <c:pt idx="3">
                  <c:v>2.5</c:v>
                </c:pt>
                <c:pt idx="4">
                  <c:v>0.5</c:v>
                </c:pt>
              </c:numCache>
            </c:numRef>
          </c:xVal>
          <c:yVal>
            <c:numRef>
              <c:f>'Calibration Distilled Water'!$C$3:$C$7</c:f>
              <c:numCache>
                <c:formatCode>General</c:formatCode>
                <c:ptCount val="5"/>
                <c:pt idx="0">
                  <c:v>460.7</c:v>
                </c:pt>
                <c:pt idx="1">
                  <c:v>266.2</c:v>
                </c:pt>
                <c:pt idx="2">
                  <c:v>107.5</c:v>
                </c:pt>
                <c:pt idx="3">
                  <c:v>52.6</c:v>
                </c:pt>
                <c:pt idx="4">
                  <c:v>11.1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88F-4B8D-9FC6-88C6E43FB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64784527"/>
        <c:axId val="6827295"/>
      </c:scatterChart>
      <c:valAx>
        <c:axId val="11647845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27295"/>
        <c:crosses val="autoZero"/>
        <c:crossBetween val="midCat"/>
      </c:valAx>
      <c:valAx>
        <c:axId val="68272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478452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Wheat Ground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'Isotherms Freudlich Dist Water'!$D$11:$D$13</c:f>
              <c:numCache>
                <c:formatCode>0.0</c:formatCode>
                <c:ptCount val="3"/>
                <c:pt idx="0">
                  <c:v>39.510830506721256</c:v>
                </c:pt>
                <c:pt idx="1">
                  <c:v>39.65192790369737</c:v>
                </c:pt>
                <c:pt idx="2">
                  <c:v>27.007430405453228</c:v>
                </c:pt>
              </c:numCache>
            </c:numRef>
          </c:xVal>
          <c:yVal>
            <c:numRef>
              <c:f>'Isotherms Freudlich Dist Water'!$E$11:$E$13</c:f>
              <c:numCache>
                <c:formatCode>0.00</c:formatCode>
                <c:ptCount val="3"/>
                <c:pt idx="0">
                  <c:v>0.13177106051085807</c:v>
                </c:pt>
                <c:pt idx="1">
                  <c:v>0.13062362866211866</c:v>
                </c:pt>
                <c:pt idx="2">
                  <c:v>0.2565554926592416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E36-4105-8A79-955DF61EF7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Ce (mg/L)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x/m (mg/g)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0.25369442045139518"/>
                  <c:y val="-0.2765704679802707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'Isotherms Freudlich Dist Water'!$G$11:$G$13</c:f>
              <c:numCache>
                <c:formatCode>General</c:formatCode>
                <c:ptCount val="3"/>
                <c:pt idx="0">
                  <c:v>1.596716158527193</c:v>
                </c:pt>
                <c:pt idx="1">
                  <c:v>1.5982643078599925</c:v>
                </c:pt>
                <c:pt idx="2">
                  <c:v>1.4314832656454597</c:v>
                </c:pt>
              </c:numCache>
            </c:numRef>
          </c:xVal>
          <c:yVal>
            <c:numRef>
              <c:f>'Isotherms Freudlich Dist Water'!$F$11:$F$13</c:f>
              <c:numCache>
                <c:formatCode>0.00</c:formatCode>
                <c:ptCount val="3"/>
                <c:pt idx="0">
                  <c:v>-0.88017995878950284</c:v>
                </c:pt>
                <c:pt idx="1">
                  <c:v>-0.88397825591406443</c:v>
                </c:pt>
                <c:pt idx="2">
                  <c:v>-0.59081868299236462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653-4163-90D4-25068D38F2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Log Ce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Log</a:t>
                </a:r>
                <a:r>
                  <a:rPr lang="en-GB" baseline="0"/>
                  <a:t> X/m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Wheat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'Isotherms Freudlich Dist Water'!$D$14:$D$16</c:f>
              <c:numCache>
                <c:formatCode>0.0</c:formatCode>
                <c:ptCount val="3"/>
                <c:pt idx="0">
                  <c:v>58.341906180071966</c:v>
                </c:pt>
                <c:pt idx="1">
                  <c:v>36.927662777466224</c:v>
                </c:pt>
                <c:pt idx="2">
                  <c:v>36.450102356931687</c:v>
                </c:pt>
              </c:numCache>
            </c:numRef>
          </c:xVal>
          <c:yVal>
            <c:numRef>
              <c:f>'Isotherms Freudlich Dist Water'!$E$14:$E$16</c:f>
              <c:numCache>
                <c:formatCode>0.00</c:formatCode>
                <c:ptCount val="3"/>
                <c:pt idx="0">
                  <c:v>0.1994371524989107</c:v>
                </c:pt>
                <c:pt idx="1">
                  <c:v>0.15630324744993079</c:v>
                </c:pt>
                <c:pt idx="2">
                  <c:v>0.16231724963051444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4F2-4F7C-B1BC-FC18184FC1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Ce (mg/L)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x/m (mg/g)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Rice Ground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'Isotherms Freudlich Dist Water'!$D$17:$D$19</c:f>
              <c:numCache>
                <c:formatCode>0.0</c:formatCode>
                <c:ptCount val="3"/>
                <c:pt idx="0">
                  <c:v>6.2444057581218582</c:v>
                </c:pt>
                <c:pt idx="1">
                  <c:v>4.8659927261244276</c:v>
                </c:pt>
                <c:pt idx="2">
                  <c:v>20.245608996520954</c:v>
                </c:pt>
              </c:numCache>
            </c:numRef>
          </c:xVal>
          <c:yVal>
            <c:numRef>
              <c:f>'Isotherms Freudlich Dist Water'!$E$17:$E$19</c:f>
              <c:numCache>
                <c:formatCode>0.00</c:formatCode>
                <c:ptCount val="3"/>
                <c:pt idx="0">
                  <c:v>0.46469885011787382</c:v>
                </c:pt>
                <c:pt idx="1">
                  <c:v>0.47280926920735988</c:v>
                </c:pt>
                <c:pt idx="2">
                  <c:v>0.32403874025337615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8D0-446E-BCBB-E79497300E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Ce (mg/L)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x/m (mg/g)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Rice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'Isotherms Freudlich Dist Water'!$D$20:$D$22</c:f>
              <c:numCache>
                <c:formatCode>0.0</c:formatCode>
                <c:ptCount val="3"/>
                <c:pt idx="0">
                  <c:v>1.8486791600198174</c:v>
                </c:pt>
                <c:pt idx="1">
                  <c:v>2.792946355167663</c:v>
                </c:pt>
                <c:pt idx="2">
                  <c:v>2.9774583358287363</c:v>
                </c:pt>
              </c:numCache>
            </c:numRef>
          </c:xVal>
          <c:yVal>
            <c:numRef>
              <c:f>'Isotherms Freudlich Dist Water'!$E$20:$E$22</c:f>
              <c:numCache>
                <c:formatCode>0.00</c:formatCode>
                <c:ptCount val="3"/>
                <c:pt idx="0">
                  <c:v>0.50764083443003416</c:v>
                </c:pt>
                <c:pt idx="1">
                  <c:v>0.49821701012716141</c:v>
                </c:pt>
                <c:pt idx="2">
                  <c:v>0.49244388548594559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212-4E1B-9D36-71C2A597D8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Ce (mg/L)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x/m (mg/g)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Norit 1240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'Isotherms Freudlich Dist Water'!$D$23:$D$25</c:f>
              <c:numCache>
                <c:formatCode>0.0</c:formatCode>
                <c:ptCount val="3"/>
                <c:pt idx="0">
                  <c:v>8.0786719188113523</c:v>
                </c:pt>
                <c:pt idx="1">
                  <c:v>11.399887570710671</c:v>
                </c:pt>
                <c:pt idx="2">
                  <c:v>23.425727251444158</c:v>
                </c:pt>
              </c:numCache>
            </c:numRef>
          </c:xVal>
          <c:yVal>
            <c:numRef>
              <c:f>'Isotherms Freudlich Dist Water'!$E$23:$E$25</c:f>
              <c:numCache>
                <c:formatCode>0.00</c:formatCode>
                <c:ptCount val="3"/>
                <c:pt idx="0">
                  <c:v>0.44106342738239018</c:v>
                </c:pt>
                <c:pt idx="1">
                  <c:v>0.41067995227831572</c:v>
                </c:pt>
                <c:pt idx="2">
                  <c:v>0.29288563518465077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799-472B-8945-990579DA1F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Ce (mg/L)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x/m (mg/g)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Norit 830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'Isotherms Freudlich Dist Water'!$D$26:$D$28</c:f>
              <c:numCache>
                <c:formatCode>0.0</c:formatCode>
                <c:ptCount val="3"/>
                <c:pt idx="0">
                  <c:v>6.9010513363568542</c:v>
                </c:pt>
                <c:pt idx="1">
                  <c:v>6.928185451159953</c:v>
                </c:pt>
                <c:pt idx="2">
                  <c:v>7.8236112396622222</c:v>
                </c:pt>
              </c:numCache>
            </c:numRef>
          </c:xVal>
          <c:yVal>
            <c:numRef>
              <c:f>'Isotherms Freudlich Dist Water'!$E$26:$E$28</c:f>
              <c:numCache>
                <c:formatCode>0.00</c:formatCode>
                <c:ptCount val="3"/>
                <c:pt idx="0">
                  <c:v>0.45630716567283258</c:v>
                </c:pt>
                <c:pt idx="1">
                  <c:v>0.45513027155814395</c:v>
                </c:pt>
                <c:pt idx="2">
                  <c:v>0.44801077375496023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BA9-4EE5-93CE-A24FE9C798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Ce (mg/L)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x/m (mg/g)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'Isotherms Freudlich Dist Water'!$D$29:$D$31</c:f>
              <c:numCache>
                <c:formatCode>0.0</c:formatCode>
                <c:ptCount val="3"/>
                <c:pt idx="0">
                  <c:v>14.297811031681645</c:v>
                </c:pt>
                <c:pt idx="1">
                  <c:v>15.524273020781722</c:v>
                </c:pt>
                <c:pt idx="2">
                  <c:v>16.783295947645517</c:v>
                </c:pt>
              </c:numCache>
            </c:numRef>
          </c:xVal>
          <c:yVal>
            <c:numRef>
              <c:f>'Isotherms Freudlich Dist Water'!$E$29:$E$31</c:f>
              <c:numCache>
                <c:formatCode>0.00</c:formatCode>
                <c:ptCount val="3"/>
                <c:pt idx="0">
                  <c:v>0.38187355604599987</c:v>
                </c:pt>
                <c:pt idx="1">
                  <c:v>0.37041850347736571</c:v>
                </c:pt>
                <c:pt idx="2">
                  <c:v>0.35575242398280904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493-4E11-8E45-6CBE7CAFDF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Ce (mg/L)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x/m (mg/g)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0.25369442045139518"/>
                  <c:y val="-0.2765704679802707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'Isotherms Freudlich Dist Water'!$G$14:$G$16</c:f>
              <c:numCache>
                <c:formatCode>General</c:formatCode>
                <c:ptCount val="3"/>
                <c:pt idx="0">
                  <c:v>1.765980614534818</c:v>
                </c:pt>
                <c:pt idx="1">
                  <c:v>1.5673518211908997</c:v>
                </c:pt>
                <c:pt idx="2">
                  <c:v>1.5616987522147123</c:v>
                </c:pt>
              </c:numCache>
            </c:numRef>
          </c:xVal>
          <c:yVal>
            <c:numRef>
              <c:f>'Isotherms Freudlich Dist Water'!$F$14:$F$16</c:f>
              <c:numCache>
                <c:formatCode>0.00</c:formatCode>
                <c:ptCount val="3"/>
                <c:pt idx="0">
                  <c:v>-0.70019393518036865</c:v>
                </c:pt>
                <c:pt idx="1">
                  <c:v>-0.80603199872467768</c:v>
                </c:pt>
                <c:pt idx="2">
                  <c:v>-0.78963532477467657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6B7-4DF1-95C2-F8EA919DF7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Log Ce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Log</a:t>
                </a:r>
                <a:r>
                  <a:rPr lang="en-GB" baseline="0"/>
                  <a:t> X/m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0.25369442045139518"/>
                  <c:y val="-0.2765704679802707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'Isotherms Freudlich Dist Water'!$G$17:$G$19</c:f>
              <c:numCache>
                <c:formatCode>General</c:formatCode>
                <c:ptCount val="3"/>
                <c:pt idx="0">
                  <c:v>0.79549111552873586</c:v>
                </c:pt>
                <c:pt idx="1">
                  <c:v>0.68717145539496727</c:v>
                </c:pt>
                <c:pt idx="2">
                  <c:v>1.3063308450634648</c:v>
                </c:pt>
              </c:numCache>
            </c:numRef>
          </c:xVal>
          <c:yVal>
            <c:numRef>
              <c:f>'Isotherms Freudlich Dist Water'!$F$17:$F$19</c:f>
              <c:numCache>
                <c:formatCode>0.00</c:formatCode>
                <c:ptCount val="3"/>
                <c:pt idx="0">
                  <c:v>-0.33282840216731208</c:v>
                </c:pt>
                <c:pt idx="1">
                  <c:v>-0.32531401790059955</c:v>
                </c:pt>
                <c:pt idx="2">
                  <c:v>-0.48940306487827473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1C0-4EBD-A8A9-52828DAFF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Log Ce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Log</a:t>
                </a:r>
                <a:r>
                  <a:rPr lang="en-GB" baseline="0"/>
                  <a:t> X/m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badi" panose="020B0604020104020204" pitchFamily="34" charset="0"/>
                <a:ea typeface="+mn-ea"/>
                <a:cs typeface="+mn-cs"/>
              </a:defRPr>
            </a:pPr>
            <a:r>
              <a:rPr lang="en-US">
                <a:latin typeface="Abadi" panose="020B0604020104020204" pitchFamily="34" charset="0"/>
              </a:rPr>
              <a:t>TNT Concentration overtime in distilled water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badi" panose="020B0604020104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Wheat Crushed</c:v>
          </c:tx>
          <c:spPr>
            <a:ln w="12700" cap="rnd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diamond"/>
            <c:size val="6"/>
            <c:spPr>
              <a:solidFill>
                <a:schemeClr val="tx2"/>
              </a:solidFill>
              <a:ln w="9525">
                <a:noFill/>
              </a:ln>
              <a:effectLst/>
            </c:spPr>
          </c:marker>
          <c:cat>
            <c:numLit>
              <c:formatCode>General</c:formatCode>
              <c:ptCount val="4"/>
              <c:pt idx="0">
                <c:v>15</c:v>
              </c:pt>
              <c:pt idx="1">
                <c:v>45</c:v>
              </c:pt>
              <c:pt idx="2">
                <c:v>60</c:v>
              </c:pt>
              <c:pt idx="3">
                <c:v>120</c:v>
              </c:pt>
            </c:numLit>
          </c:cat>
          <c:val>
            <c:numRef>
              <c:f>('Distilled water'!$B$31,'Distilled water'!$D$31,'Distilled water'!$F$31,'Distilled water'!$H$31)</c:f>
              <c:numCache>
                <c:formatCode>0.0</c:formatCode>
                <c:ptCount val="4"/>
                <c:pt idx="0">
                  <c:v>30.865901530453907</c:v>
                </c:pt>
                <c:pt idx="1">
                  <c:v>35.458802696125133</c:v>
                </c:pt>
                <c:pt idx="2">
                  <c:v>35.390062938623949</c:v>
                </c:pt>
                <c:pt idx="3">
                  <c:v>34.673722307822139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CC-4D93-89A0-636CAB38EC1C}"/>
            </c:ext>
          </c:extLst>
        </c:ser>
        <c:ser>
          <c:idx val="1"/>
          <c:order val="1"/>
          <c:tx>
            <c:v>Wheat</c:v>
          </c:tx>
          <c:spPr>
            <a:ln w="12700" cap="rnd">
              <a:solidFill>
                <a:srgbClr val="7030A0"/>
              </a:solidFill>
              <a:prstDash val="solid"/>
              <a:round/>
            </a:ln>
            <a:effectLst/>
          </c:spPr>
          <c:marker>
            <c:symbol val="square"/>
            <c:size val="6"/>
            <c:spPr>
              <a:solidFill>
                <a:srgbClr val="7030A0"/>
              </a:solidFill>
              <a:ln w="9525">
                <a:noFill/>
                <a:prstDash val="sysDash"/>
              </a:ln>
              <a:effectLst/>
            </c:spPr>
          </c:marker>
          <c:val>
            <c:numRef>
              <c:f>('Distilled water'!$B$32,'Distilled water'!$D$32,'Distilled water'!$F$32,'Distilled water'!$H$32)</c:f>
              <c:numCache>
                <c:formatCode>0.0</c:formatCode>
                <c:ptCount val="4"/>
                <c:pt idx="0">
                  <c:v>37.969612785905234</c:v>
                </c:pt>
                <c:pt idx="1">
                  <c:v>34.507299737029797</c:v>
                </c:pt>
                <c:pt idx="2">
                  <c:v>36.688882567198959</c:v>
                </c:pt>
                <c:pt idx="3">
                  <c:v>34.409616923738639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CC-4D93-89A0-636CAB38EC1C}"/>
            </c:ext>
          </c:extLst>
        </c:ser>
        <c:ser>
          <c:idx val="2"/>
          <c:order val="2"/>
          <c:tx>
            <c:v>Rice Crushed</c:v>
          </c:tx>
          <c:spPr>
            <a:ln w="12700" cap="rnd">
              <a:solidFill>
                <a:srgbClr val="CC00FF"/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('Distilled water'!$B$33,'Distilled water'!$D$33,'Distilled water'!$F$33,'Distilled water'!$H$33)</c:f>
              <c:numCache>
                <c:formatCode>0.0</c:formatCode>
                <c:ptCount val="4"/>
                <c:pt idx="0">
                  <c:v>12.143362316315585</c:v>
                </c:pt>
                <c:pt idx="1">
                  <c:v>6.4397713847041711</c:v>
                </c:pt>
                <c:pt idx="2">
                  <c:v>5.5551992421231429</c:v>
                </c:pt>
                <c:pt idx="3">
                  <c:v>5.7180039309417374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CCC-4D93-89A0-636CAB38EC1C}"/>
            </c:ext>
          </c:extLst>
        </c:ser>
        <c:ser>
          <c:idx val="3"/>
          <c:order val="3"/>
          <c:tx>
            <c:v>Norit 1240</c:v>
          </c:tx>
          <c:spPr>
            <a:ln w="12700" cap="rnd">
              <a:solidFill>
                <a:schemeClr val="accent4"/>
              </a:solidFill>
              <a:prstDash val="solid"/>
              <a:round/>
            </a:ln>
            <a:effectLst/>
          </c:spPr>
          <c:marker>
            <c:symbol val="dot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('Distilled water'!$B$35,'Distilled water'!$D$35,'Distilled water'!$F$35,'Distilled water'!$H$35)</c:f>
              <c:numCache>
                <c:formatCode>0.0</c:formatCode>
                <c:ptCount val="4"/>
                <c:pt idx="0">
                  <c:v>20.668901187449297</c:v>
                </c:pt>
                <c:pt idx="1">
                  <c:v>12.772873779747481</c:v>
                </c:pt>
                <c:pt idx="2">
                  <c:v>9.7392797447610118</c:v>
                </c:pt>
                <c:pt idx="3">
                  <c:v>11.117692776758442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CCC-4D93-89A0-636CAB38EC1C}"/>
            </c:ext>
          </c:extLst>
        </c:ser>
        <c:ser>
          <c:idx val="4"/>
          <c:order val="4"/>
          <c:tx>
            <c:v>Norit 830</c:v>
          </c:tx>
          <c:spPr>
            <a:ln w="12700" cap="rnd">
              <a:solidFill>
                <a:srgbClr val="9999FF"/>
              </a:solidFill>
              <a:prstDash val="solid"/>
              <a:round/>
            </a:ln>
            <a:effectLst/>
          </c:spPr>
          <c:marker>
            <c:symbol val="plus"/>
            <c:size val="6"/>
            <c:spPr>
              <a:solidFill>
                <a:srgbClr val="9999FF"/>
              </a:solidFill>
              <a:ln w="9525">
                <a:noFill/>
              </a:ln>
              <a:effectLst/>
            </c:spPr>
          </c:marker>
          <c:val>
            <c:numRef>
              <c:f>('Distilled water'!$B$36,'Distilled water'!$D$36,'Distilled water'!$F$36,'Distilled water'!$H$36)</c:f>
              <c:numCache>
                <c:formatCode>0.0</c:formatCode>
                <c:ptCount val="4"/>
                <c:pt idx="0">
                  <c:v>18.082115576220527</c:v>
                </c:pt>
                <c:pt idx="1">
                  <c:v>8.6919029133613908</c:v>
                </c:pt>
                <c:pt idx="2">
                  <c:v>7.2176160090596762</c:v>
                </c:pt>
                <c:pt idx="3">
                  <c:v>5.7415201637710895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CCC-4D93-89A0-636CAB38EC1C}"/>
            </c:ext>
          </c:extLst>
        </c:ser>
        <c:ser>
          <c:idx val="5"/>
          <c:order val="5"/>
          <c:tx>
            <c:v>Activated Carbon</c:v>
          </c:tx>
          <c:spPr>
            <a:ln w="12700" cap="rnd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('Distilled water'!$B$37,'Distilled water'!$D$37,'Distilled water'!$F$37,'Distilled water'!$H$37)</c:f>
              <c:numCache>
                <c:formatCode>0.0</c:formatCode>
                <c:ptCount val="4"/>
                <c:pt idx="0">
                  <c:v>34.670104425848393</c:v>
                </c:pt>
                <c:pt idx="1">
                  <c:v>20.043007605991146</c:v>
                </c:pt>
                <c:pt idx="2">
                  <c:v>15.535126666702959</c:v>
                </c:pt>
                <c:pt idx="3">
                  <c:v>12.968239406329795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CCC-4D93-89A0-636CAB38EC1C}"/>
            </c:ext>
          </c:extLst>
        </c:ser>
        <c:ser>
          <c:idx val="6"/>
          <c:order val="6"/>
          <c:tx>
            <c:v>Control</c:v>
          </c:tx>
          <c:spPr>
            <a:ln w="15875" cap="rnd">
              <a:solidFill>
                <a:srgbClr val="996633"/>
              </a:solidFill>
              <a:prstDash val="solid"/>
              <a:round/>
            </a:ln>
            <a:effectLst/>
          </c:spPr>
          <c:marker>
            <c:symbol val="circle"/>
            <c:size val="6"/>
            <c:spPr>
              <a:solidFill>
                <a:srgbClr val="996633"/>
              </a:solidFill>
              <a:ln w="9525">
                <a:solidFill>
                  <a:srgbClr val="996633"/>
                </a:solidFill>
              </a:ln>
              <a:effectLst/>
            </c:spPr>
          </c:marker>
          <c:val>
            <c:numRef>
              <c:f>('Distilled water'!$B$38,'Distilled water'!$D$38,'Distilled water'!$F$38,'Distilled water'!$H$38)</c:f>
              <c:numCache>
                <c:formatCode>0.0</c:formatCode>
                <c:ptCount val="4"/>
                <c:pt idx="0">
                  <c:v>56.69034305905668</c:v>
                </c:pt>
                <c:pt idx="1">
                  <c:v>52.258437641217171</c:v>
                </c:pt>
                <c:pt idx="2">
                  <c:v>60.600868663533106</c:v>
                </c:pt>
                <c:pt idx="3">
                  <c:v>54.494288700992534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CCC-4D93-89A0-636CAB38EC1C}"/>
            </c:ext>
          </c:extLst>
        </c:ser>
        <c:ser>
          <c:idx val="7"/>
          <c:order val="7"/>
          <c:tx>
            <c:v>Rice</c:v>
          </c:tx>
          <c:spPr>
            <a:ln w="15875" cap="rnd">
              <a:solidFill>
                <a:srgbClr val="FF0066"/>
              </a:solidFill>
              <a:prstDash val="solid"/>
              <a:round/>
            </a:ln>
            <a:effectLst/>
          </c:spPr>
          <c:marker>
            <c:symbol val="triangle"/>
            <c:size val="5"/>
            <c:spPr>
              <a:solidFill>
                <a:srgbClr val="FF0066"/>
              </a:solidFill>
              <a:ln w="6350">
                <a:noFill/>
              </a:ln>
              <a:effectLst/>
            </c:spPr>
          </c:marker>
          <c:val>
            <c:numRef>
              <c:f>('Distilled water'!$B$34,'Distilled water'!$D$34,'Distilled water'!$F$34,'Distilled water'!$H$34)</c:f>
              <c:numCache>
                <c:formatCode>0.0</c:formatCode>
                <c:ptCount val="4"/>
                <c:pt idx="0">
                  <c:v>12.293504418226069</c:v>
                </c:pt>
                <c:pt idx="1">
                  <c:v>4.4499362991435767</c:v>
                </c:pt>
                <c:pt idx="2">
                  <c:v>2.5396946170054058</c:v>
                </c:pt>
                <c:pt idx="3">
                  <c:v>2.3624184002918249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CCC-4D93-89A0-636CAB38EC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5204048"/>
        <c:axId val="1415087392"/>
      </c:lineChart>
      <c:catAx>
        <c:axId val="15852040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badi" panose="020B0604020104020204" pitchFamily="34" charset="0"/>
                    <a:ea typeface="+mn-ea"/>
                    <a:cs typeface="+mn-cs"/>
                  </a:defRPr>
                </a:pPr>
                <a:r>
                  <a:rPr lang="en-GB">
                    <a:latin typeface="Abadi" panose="020B0604020104020204" pitchFamily="34" charset="0"/>
                  </a:rPr>
                  <a:t>Collection time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badi" panose="020B0604020104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badi" panose="020B0604020104020204" pitchFamily="34" charset="0"/>
                <a:ea typeface="+mn-ea"/>
                <a:cs typeface="+mn-cs"/>
              </a:defRPr>
            </a:pPr>
            <a:endParaRPr lang="en-US"/>
          </a:p>
        </c:txPr>
        <c:crossAx val="1415087392"/>
        <c:crosses val="autoZero"/>
        <c:auto val="1"/>
        <c:lblAlgn val="ctr"/>
        <c:lblOffset val="100"/>
        <c:noMultiLvlLbl val="0"/>
      </c:catAx>
      <c:valAx>
        <c:axId val="1415087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badi" panose="020B0604020104020204" pitchFamily="34" charset="0"/>
                    <a:ea typeface="+mn-ea"/>
                    <a:cs typeface="+mn-cs"/>
                  </a:defRPr>
                </a:pPr>
                <a:r>
                  <a:rPr lang="en-GB">
                    <a:latin typeface="Abadi" panose="020B0604020104020204" pitchFamily="34" charset="0"/>
                  </a:rPr>
                  <a:t>Concentration</a:t>
                </a:r>
                <a:r>
                  <a:rPr lang="en-GB" baseline="0">
                    <a:latin typeface="Abadi" panose="020B0604020104020204" pitchFamily="34" charset="0"/>
                  </a:rPr>
                  <a:t> (mg/L)</a:t>
                </a:r>
                <a:endParaRPr lang="en-GB">
                  <a:latin typeface="Abadi" panose="020B0604020104020204" pitchFamily="34" charset="0"/>
                </a:endParaRPr>
              </a:p>
            </c:rich>
          </c:tx>
          <c:layout>
            <c:manualLayout>
              <c:xMode val="edge"/>
              <c:yMode val="edge"/>
              <c:x val="1.2715712988192553E-2"/>
              <c:y val="0.3212331574012388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badi" panose="020B0604020104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badi" panose="020B0604020104020204" pitchFamily="34" charset="0"/>
                <a:ea typeface="+mn-ea"/>
                <a:cs typeface="+mn-cs"/>
              </a:defRPr>
            </a:pPr>
            <a:endParaRPr lang="en-US"/>
          </a:p>
        </c:txPr>
        <c:crossAx val="1585204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badi" panose="020B0604020104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0.25369442045139518"/>
                  <c:y val="-0.2765704679802707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'Isotherms Freudlich Dist Water'!$G$20:$G$22</c:f>
              <c:numCache>
                <c:formatCode>General</c:formatCode>
                <c:ptCount val="3"/>
                <c:pt idx="0">
                  <c:v>0.26686154548936397</c:v>
                </c:pt>
                <c:pt idx="1">
                  <c:v>0.4460625941763337</c:v>
                </c:pt>
                <c:pt idx="2">
                  <c:v>0.47384569302760354</c:v>
                </c:pt>
              </c:numCache>
            </c:numRef>
          </c:xVal>
          <c:yVal>
            <c:numRef>
              <c:f>'Isotherms Freudlich Dist Water'!$F$20:$F$22</c:f>
              <c:numCache>
                <c:formatCode>0.00</c:formatCode>
                <c:ptCount val="3"/>
                <c:pt idx="0">
                  <c:v>-0.29444345069405542</c:v>
                </c:pt>
                <c:pt idx="1">
                  <c:v>-0.30258144886243715</c:v>
                </c:pt>
                <c:pt idx="2">
                  <c:v>-0.3076432506735014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5AB-402D-8346-8C8782226F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Log Ce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Log</a:t>
                </a:r>
                <a:r>
                  <a:rPr lang="en-GB" baseline="0"/>
                  <a:t> X/m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0.25369442045139518"/>
                  <c:y val="-0.2765704679802707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'Isotherms Freudlich Dist Water'!$G$23:$G$25</c:f>
              <c:numCache>
                <c:formatCode>General</c:formatCode>
                <c:ptCount val="3"/>
                <c:pt idx="0">
                  <c:v>0.9073399714505197</c:v>
                </c:pt>
                <c:pt idx="1">
                  <c:v>1.0569005682083379</c:v>
                </c:pt>
                <c:pt idx="2">
                  <c:v>1.3696930824365057</c:v>
                </c:pt>
              </c:numCache>
            </c:numRef>
          </c:xVal>
          <c:yVal>
            <c:numRef>
              <c:f>'Isotherms Freudlich Dist Water'!$F$23:$F$25</c:f>
              <c:numCache>
                <c:formatCode>0.00</c:formatCode>
                <c:ptCount val="3"/>
                <c:pt idx="0">
                  <c:v>-0.35549895207086274</c:v>
                </c:pt>
                <c:pt idx="1">
                  <c:v>-0.38649649711569134</c:v>
                </c:pt>
                <c:pt idx="2">
                  <c:v>-0.53330192812388055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F22-4F3B-89C3-892C87A6A1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Log Ce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Log</a:t>
                </a:r>
                <a:r>
                  <a:rPr lang="en-GB" baseline="0"/>
                  <a:t> X/m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0.25369442045139518"/>
                  <c:y val="-0.2765704679802707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'Isotherms Freudlich Dist Water'!$G$26:$G$28</c:f>
              <c:numCache>
                <c:formatCode>General</c:formatCode>
                <c:ptCount val="3"/>
                <c:pt idx="0">
                  <c:v>0.83891525809917022</c:v>
                </c:pt>
                <c:pt idx="1">
                  <c:v>0.84061950420234477</c:v>
                </c:pt>
                <c:pt idx="2">
                  <c:v>0.89340726194005027</c:v>
                </c:pt>
              </c:numCache>
            </c:numRef>
          </c:xVal>
          <c:yVal>
            <c:numRef>
              <c:f>'Isotherms Freudlich Dist Water'!$F$26:$F$28</c:f>
              <c:numCache>
                <c:formatCode>0.00</c:formatCode>
                <c:ptCount val="3"/>
                <c:pt idx="0">
                  <c:v>-0.34074271117970545</c:v>
                </c:pt>
                <c:pt idx="1">
                  <c:v>-0.34186427780179696</c:v>
                </c:pt>
                <c:pt idx="2">
                  <c:v>-0.34871154197045395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88C-4D3D-8E4F-65D9C0BBBA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Log Ce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Log</a:t>
                </a:r>
                <a:r>
                  <a:rPr lang="en-GB" baseline="0"/>
                  <a:t> X/m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0.25369442045139518"/>
                  <c:y val="-0.2765704679802707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'Isotherms Freudlich Dist Water'!$G$29:$G$31</c:f>
              <c:numCache>
                <c:formatCode>General</c:formatCode>
                <c:ptCount val="3"/>
                <c:pt idx="0">
                  <c:v>1.1552695528755577</c:v>
                </c:pt>
                <c:pt idx="1">
                  <c:v>1.1910112719432866</c:v>
                </c:pt>
                <c:pt idx="2">
                  <c:v>1.2248772527569056</c:v>
                </c:pt>
              </c:numCache>
            </c:numRef>
          </c:xVal>
          <c:yVal>
            <c:numRef>
              <c:f>'Isotherms Freudlich Dist Water'!$F$29:$F$31</c:f>
              <c:numCache>
                <c:formatCode>0.00</c:formatCode>
                <c:ptCount val="3"/>
                <c:pt idx="0">
                  <c:v>-0.41808041458015283</c:v>
                </c:pt>
                <c:pt idx="1">
                  <c:v>-0.43130732718070014</c:v>
                </c:pt>
                <c:pt idx="2">
                  <c:v>-0.44885213209041952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6A0-41F2-AD9F-1D20E5957F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Log Ce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Log</a:t>
                </a:r>
                <a:r>
                  <a:rPr lang="en-GB" baseline="0"/>
                  <a:t> X/m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Wheat Ground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'Isotherms Freudlich Sea Water'!$D$11:$D$13</c:f>
              <c:numCache>
                <c:formatCode>0.0</c:formatCode>
                <c:ptCount val="3"/>
                <c:pt idx="0">
                  <c:v>20.35261865985759</c:v>
                </c:pt>
                <c:pt idx="1">
                  <c:v>20.116322529105481</c:v>
                </c:pt>
                <c:pt idx="2">
                  <c:v>24.231813473037999</c:v>
                </c:pt>
              </c:numCache>
            </c:numRef>
          </c:xVal>
          <c:yVal>
            <c:numRef>
              <c:f>'Isotherms Freudlich Sea Water'!$E$11:$E$13</c:f>
              <c:numCache>
                <c:formatCode>0.00</c:formatCode>
                <c:ptCount val="3"/>
                <c:pt idx="0">
                  <c:v>0.25282349651745223</c:v>
                </c:pt>
                <c:pt idx="1">
                  <c:v>0.25569210481800825</c:v>
                </c:pt>
                <c:pt idx="2">
                  <c:v>0.21410897742383542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EC7-4445-B862-E2662136D9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Ce (mg/L)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x/m (mg/g)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'Isotherms Freudlich Sea Water'!$G$11:$G$13</c:f>
              <c:numCache>
                <c:formatCode>General</c:formatCode>
                <c:ptCount val="3"/>
                <c:pt idx="0">
                  <c:v>1.3086202954462451</c:v>
                </c:pt>
                <c:pt idx="1">
                  <c:v>1.3035485901367923</c:v>
                </c:pt>
                <c:pt idx="2">
                  <c:v>1.3843859173096911</c:v>
                </c:pt>
              </c:numCache>
            </c:numRef>
          </c:xVal>
          <c:yVal>
            <c:numRef>
              <c:f>'Isotherms Freudlich Sea Water'!$F$11:$F$13</c:f>
              <c:numCache>
                <c:formatCode>0.00</c:formatCode>
                <c:ptCount val="3"/>
                <c:pt idx="0">
                  <c:v>-0.59718256672795145</c:v>
                </c:pt>
                <c:pt idx="1">
                  <c:v>-0.59228268177776833</c:v>
                </c:pt>
                <c:pt idx="2">
                  <c:v>-0.66936512269204229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C26-4DDE-90FE-D0A22D904F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Log Ce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Log</a:t>
                </a:r>
                <a:r>
                  <a:rPr lang="en-GB" baseline="0"/>
                  <a:t> X/m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Wheat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'Isotherms Freudlich Sea Water'!$D$14:$D$16</c:f>
              <c:numCache>
                <c:formatCode>0.0</c:formatCode>
                <c:ptCount val="3"/>
                <c:pt idx="0">
                  <c:v>23.818295244221812</c:v>
                </c:pt>
                <c:pt idx="1">
                  <c:v>20.903976298279169</c:v>
                </c:pt>
                <c:pt idx="2">
                  <c:v>22.715579967378652</c:v>
                </c:pt>
              </c:numCache>
            </c:numRef>
          </c:xVal>
          <c:yVal>
            <c:numRef>
              <c:f>'Isotherms Freudlich Sea Water'!$E$14:$E$16</c:f>
              <c:numCache>
                <c:formatCode>0.00</c:formatCode>
                <c:ptCount val="3"/>
                <c:pt idx="0">
                  <c:v>0.21867237766684494</c:v>
                </c:pt>
                <c:pt idx="1">
                  <c:v>0.24682825410983208</c:v>
                </c:pt>
                <c:pt idx="2">
                  <c:v>0.2287843928638213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7E7-485C-A685-F671859808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Ce (mg/L)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x/m (mg/g)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Rice Ground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'Isotherms Freudlich Sea Water'!$D$17:$D$19</c:f>
              <c:numCache>
                <c:formatCode>0.0</c:formatCode>
                <c:ptCount val="3"/>
                <c:pt idx="0">
                  <c:v>2.2562733130921253</c:v>
                </c:pt>
                <c:pt idx="1">
                  <c:v>1.837832248218604</c:v>
                </c:pt>
                <c:pt idx="2">
                  <c:v>2.2267362967481121</c:v>
                </c:pt>
              </c:numCache>
            </c:numRef>
          </c:xVal>
          <c:yVal>
            <c:numRef>
              <c:f>'Isotherms Freudlich Sea Water'!$E$17:$E$19</c:f>
              <c:numCache>
                <c:formatCode>0.00</c:formatCode>
                <c:ptCount val="3"/>
                <c:pt idx="0">
                  <c:v>0.43429259697814182</c:v>
                </c:pt>
                <c:pt idx="1">
                  <c:v>0.43499703137587009</c:v>
                </c:pt>
                <c:pt idx="2">
                  <c:v>0.4363333003429537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A50-4F81-8C46-C65E1B9F68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Ce (mg/L)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x/m (mg/g)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Rice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'Isotherms Freudlich Sea Water'!$D$20:$D$22</c:f>
              <c:numCache>
                <c:formatCode>0.0</c:formatCode>
                <c:ptCount val="3"/>
                <c:pt idx="0">
                  <c:v>6.1650051426165486</c:v>
                </c:pt>
                <c:pt idx="1">
                  <c:v>6.5194493387447068</c:v>
                </c:pt>
                <c:pt idx="2">
                  <c:v>4.2057163917970009</c:v>
                </c:pt>
              </c:numCache>
            </c:numRef>
          </c:xVal>
          <c:yVal>
            <c:numRef>
              <c:f>'Isotherms Freudlich Sea Water'!$E$20:$E$22</c:f>
              <c:numCache>
                <c:formatCode>0.00</c:formatCode>
                <c:ptCount val="3"/>
                <c:pt idx="0">
                  <c:v>0.39284818954562378</c:v>
                </c:pt>
                <c:pt idx="1">
                  <c:v>0.38932488739723259</c:v>
                </c:pt>
                <c:pt idx="2">
                  <c:v>0.4189880466576697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27D-46BE-8E69-25CEA6CD9E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Ce (mg/L)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x/m (mg/g)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Norit 1240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'Isotherms Freudlich Sea Water'!$D$23:$D$25</c:f>
              <c:numCache>
                <c:formatCode>0.0</c:formatCode>
                <c:ptCount val="3"/>
                <c:pt idx="0">
                  <c:v>5.4265797340162161</c:v>
                </c:pt>
                <c:pt idx="1">
                  <c:v>4.9736788167413462</c:v>
                </c:pt>
                <c:pt idx="2">
                  <c:v>3.3589885899352878</c:v>
                </c:pt>
              </c:numCache>
            </c:numRef>
          </c:xVal>
          <c:yVal>
            <c:numRef>
              <c:f>'Isotherms Freudlich Sea Water'!$E$23:$E$25</c:f>
              <c:numCache>
                <c:formatCode>0.00</c:formatCode>
                <c:ptCount val="3"/>
                <c:pt idx="0">
                  <c:v>0.39781574384278751</c:v>
                </c:pt>
                <c:pt idx="1">
                  <c:v>0.41289912975826532</c:v>
                </c:pt>
                <c:pt idx="2">
                  <c:v>0.42242060300370282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8D3-48C6-B419-8B1DF1C837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Ce (mg/L)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x/m (mg/g)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badi" panose="020B0604020104020204" pitchFamily="34" charset="0"/>
                <a:ea typeface="+mn-ea"/>
                <a:cs typeface="+mn-cs"/>
              </a:defRPr>
            </a:pPr>
            <a:r>
              <a:rPr lang="en-US">
                <a:latin typeface="Abadi" panose="020B0604020104020204" pitchFamily="34" charset="0"/>
              </a:rPr>
              <a:t>Distilled water with AC</a:t>
            </a:r>
          </a:p>
        </c:rich>
      </c:tx>
      <c:layout>
        <c:manualLayout>
          <c:xMode val="edge"/>
          <c:yMode val="edge"/>
          <c:x val="8.4915190685910039E-2"/>
          <c:y val="4.23078076227342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badi" panose="020B0604020104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3"/>
          <c:order val="0"/>
          <c:tx>
            <c:v>Norit 1240</c:v>
          </c:tx>
          <c:spPr>
            <a:solidFill>
              <a:schemeClr val="bg1">
                <a:lumMod val="85000"/>
              </a:schemeClr>
            </a:solidFill>
            <a:ln w="6350">
              <a:solidFill>
                <a:schemeClr val="tx1">
                  <a:lumMod val="65000"/>
                  <a:lumOff val="35000"/>
                </a:schemeClr>
              </a:solidFill>
              <a:prstDash val="solid"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('Distilled water'!$C$35,'Distilled water'!$E$35,'Distilled water'!$G$35,'Distilled water'!$I$35)</c:f>
                <c:numCache>
                  <c:formatCode>General</c:formatCode>
                  <c:ptCount val="4"/>
                  <c:pt idx="0">
                    <c:v>1.9647197776655971</c:v>
                  </c:pt>
                  <c:pt idx="1">
                    <c:v>2.3100806760833783</c:v>
                  </c:pt>
                  <c:pt idx="2">
                    <c:v>2.3484541092409046</c:v>
                  </c:pt>
                  <c:pt idx="3">
                    <c:v>1.1205042481999117</c:v>
                  </c:pt>
                </c:numCache>
              </c:numRef>
            </c:plus>
            <c:minus>
              <c:numRef>
                <c:f>('Distilled water'!$C$35,'Distilled water'!$E$35,'Distilled water'!$G$35,'Distilled water'!$I$35)</c:f>
                <c:numCache>
                  <c:formatCode>General</c:formatCode>
                  <c:ptCount val="4"/>
                  <c:pt idx="0">
                    <c:v>1.9647197776655971</c:v>
                  </c:pt>
                  <c:pt idx="1">
                    <c:v>2.3100806760833783</c:v>
                  </c:pt>
                  <c:pt idx="2">
                    <c:v>2.3484541092409046</c:v>
                  </c:pt>
                  <c:pt idx="3">
                    <c:v>1.1205042481999117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val>
            <c:numRef>
              <c:f>('Distilled water'!$B$35,'Distilled water'!$D$35,'Distilled water'!$F$35,'Distilled water'!$H$35)</c:f>
              <c:numCache>
                <c:formatCode>0.0</c:formatCode>
                <c:ptCount val="4"/>
                <c:pt idx="0">
                  <c:v>20.668901187449297</c:v>
                </c:pt>
                <c:pt idx="1">
                  <c:v>12.772873779747481</c:v>
                </c:pt>
                <c:pt idx="2">
                  <c:v>9.7392797447610118</c:v>
                </c:pt>
                <c:pt idx="3">
                  <c:v>11.117692776758442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D0-46A8-BFD4-229CED6020C5}"/>
            </c:ext>
          </c:extLst>
        </c:ser>
        <c:ser>
          <c:idx val="4"/>
          <c:order val="1"/>
          <c:tx>
            <c:v>Norit 830</c:v>
          </c:tx>
          <c:spPr>
            <a:solidFill>
              <a:schemeClr val="bg1">
                <a:lumMod val="65000"/>
              </a:schemeClr>
            </a:solidFill>
            <a:ln w="9525">
              <a:solidFill>
                <a:schemeClr val="tx1">
                  <a:lumMod val="65000"/>
                  <a:lumOff val="35000"/>
                </a:schemeClr>
              </a:solidFill>
              <a:prstDash val="solid"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('Distilled water'!$C$36,'Distilled water'!$E$36,'Distilled water'!$G$36,'Distilled water'!$I$36)</c:f>
                <c:numCache>
                  <c:formatCode>General</c:formatCode>
                  <c:ptCount val="4"/>
                  <c:pt idx="0">
                    <c:v>1.1376455609812999</c:v>
                  </c:pt>
                  <c:pt idx="1">
                    <c:v>0.5218504744199548</c:v>
                  </c:pt>
                  <c:pt idx="2">
                    <c:v>0.52498259940812453</c:v>
                  </c:pt>
                  <c:pt idx="3">
                    <c:v>0.60955406416501412</c:v>
                  </c:pt>
                </c:numCache>
              </c:numRef>
            </c:plus>
            <c:minus>
              <c:numRef>
                <c:f>('Distilled water'!$C$36,'Distilled water'!$E$36,'Distilled water'!$G$36,'Distilled water'!$I$36)</c:f>
                <c:numCache>
                  <c:formatCode>General</c:formatCode>
                  <c:ptCount val="4"/>
                  <c:pt idx="0">
                    <c:v>1.1376455609812999</c:v>
                  </c:pt>
                  <c:pt idx="1">
                    <c:v>0.5218504744199548</c:v>
                  </c:pt>
                  <c:pt idx="2">
                    <c:v>0.52498259940812453</c:v>
                  </c:pt>
                  <c:pt idx="3">
                    <c:v>0.60955406416501412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val>
            <c:numRef>
              <c:f>('Distilled water'!$B$36,'Distilled water'!$D$36,'Distilled water'!$F$36,'Distilled water'!$H$36)</c:f>
              <c:numCache>
                <c:formatCode>0.0</c:formatCode>
                <c:ptCount val="4"/>
                <c:pt idx="0">
                  <c:v>18.082115576220527</c:v>
                </c:pt>
                <c:pt idx="1">
                  <c:v>8.6919029133613908</c:v>
                </c:pt>
                <c:pt idx="2">
                  <c:v>7.2176160090596762</c:v>
                </c:pt>
                <c:pt idx="3">
                  <c:v>5.7415201637710895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D0-46A8-BFD4-229CED6020C5}"/>
            </c:ext>
          </c:extLst>
        </c:ser>
        <c:ser>
          <c:idx val="5"/>
          <c:order val="2"/>
          <c:tx>
            <c:v>Generic AC</c:v>
          </c:tx>
          <c:spPr>
            <a:solidFill>
              <a:schemeClr val="bg2">
                <a:lumMod val="50000"/>
              </a:schemeClr>
            </a:solidFill>
            <a:ln w="6350">
              <a:solidFill>
                <a:schemeClr val="tx1"/>
              </a:solidFill>
              <a:prstDash val="solid"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('Distilled water'!$C$37,'Distilled water'!$E$37,'Distilled water'!$G$37,'Distilled water'!$I$37)</c:f>
                <c:numCache>
                  <c:formatCode>General</c:formatCode>
                  <c:ptCount val="4"/>
                  <c:pt idx="0">
                    <c:v>2.0968614713529887</c:v>
                  </c:pt>
                  <c:pt idx="1">
                    <c:v>0.69550899282579948</c:v>
                  </c:pt>
                  <c:pt idx="2">
                    <c:v>1.2427780043488543</c:v>
                  </c:pt>
                  <c:pt idx="3">
                    <c:v>0.37605964494380667</c:v>
                  </c:pt>
                </c:numCache>
              </c:numRef>
            </c:plus>
            <c:minus>
              <c:numRef>
                <c:f>('Distilled water'!$C$37,'Distilled water'!$E$37,'Distilled water'!$G$37,'Distilled water'!$I$37)</c:f>
                <c:numCache>
                  <c:formatCode>General</c:formatCode>
                  <c:ptCount val="4"/>
                  <c:pt idx="0">
                    <c:v>2.0968614713529887</c:v>
                  </c:pt>
                  <c:pt idx="1">
                    <c:v>0.69550899282579948</c:v>
                  </c:pt>
                  <c:pt idx="2">
                    <c:v>1.2427780043488543</c:v>
                  </c:pt>
                  <c:pt idx="3">
                    <c:v>0.37605964494380667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val>
            <c:numRef>
              <c:f>('Distilled water'!$B$37,'Distilled water'!$D$37,'Distilled water'!$F$37,'Distilled water'!$H$37)</c:f>
              <c:numCache>
                <c:formatCode>0.0</c:formatCode>
                <c:ptCount val="4"/>
                <c:pt idx="0">
                  <c:v>34.670104425848393</c:v>
                </c:pt>
                <c:pt idx="1">
                  <c:v>20.043007605991146</c:v>
                </c:pt>
                <c:pt idx="2">
                  <c:v>15.535126666702959</c:v>
                </c:pt>
                <c:pt idx="3">
                  <c:v>12.968239406329795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4D0-46A8-BFD4-229CED6020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85204048"/>
        <c:axId val="1415087392"/>
      </c:barChart>
      <c:lineChart>
        <c:grouping val="standard"/>
        <c:varyColors val="0"/>
        <c:ser>
          <c:idx val="6"/>
          <c:order val="3"/>
          <c:tx>
            <c:v>Control</c:v>
          </c:tx>
          <c:spPr>
            <a:ln w="6350" cap="rnd">
              <a:solidFill>
                <a:schemeClr val="bg2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('Distilled water'!$C$38,'Distilled water'!$E$38,'Distilled water'!$G$38,'Distilled water'!$I$38)</c:f>
                <c:numCache>
                  <c:formatCode>General</c:formatCode>
                  <c:ptCount val="4"/>
                  <c:pt idx="0">
                    <c:v>0.92294821185589948</c:v>
                  </c:pt>
                  <c:pt idx="1">
                    <c:v>0.33404729277836515</c:v>
                  </c:pt>
                  <c:pt idx="2">
                    <c:v>15.524087833702723</c:v>
                  </c:pt>
                  <c:pt idx="3">
                    <c:v>0.7625989744514402</c:v>
                  </c:pt>
                </c:numCache>
              </c:numRef>
            </c:plus>
            <c:minus>
              <c:numRef>
                <c:f>('Distilled water'!$C$38,'Distilled water'!$E$38,'Distilled water'!$G$38,'Distilled water'!$I$38)</c:f>
                <c:numCache>
                  <c:formatCode>General</c:formatCode>
                  <c:ptCount val="4"/>
                  <c:pt idx="0">
                    <c:v>0.92294821185589948</c:v>
                  </c:pt>
                  <c:pt idx="1">
                    <c:v>0.33404729277836515</c:v>
                  </c:pt>
                  <c:pt idx="2">
                    <c:v>15.524087833702723</c:v>
                  </c:pt>
                  <c:pt idx="3">
                    <c:v>0.7625989744514402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bg2"/>
                </a:solidFill>
                <a:round/>
              </a:ln>
              <a:effectLst/>
            </c:spPr>
          </c:errBars>
          <c:cat>
            <c:numLit>
              <c:formatCode>General</c:formatCode>
              <c:ptCount val="4"/>
              <c:pt idx="0">
                <c:v>15</c:v>
              </c:pt>
              <c:pt idx="1">
                <c:v>45</c:v>
              </c:pt>
              <c:pt idx="2">
                <c:v>60</c:v>
              </c:pt>
              <c:pt idx="3">
                <c:v>120</c:v>
              </c:pt>
            </c:numLit>
          </c:cat>
          <c:val>
            <c:numRef>
              <c:f>('Distilled water'!$B$38,'Distilled water'!$D$38,'Distilled water'!$F$38,'Distilled water'!$H$38)</c:f>
              <c:numCache>
                <c:formatCode>0.0</c:formatCode>
                <c:ptCount val="4"/>
                <c:pt idx="0">
                  <c:v>56.69034305905668</c:v>
                </c:pt>
                <c:pt idx="1">
                  <c:v>52.258437641217171</c:v>
                </c:pt>
                <c:pt idx="2">
                  <c:v>60.600868663533106</c:v>
                </c:pt>
                <c:pt idx="3">
                  <c:v>54.494288700992534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4D0-46A8-BFD4-229CED6020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5204048"/>
        <c:axId val="1415087392"/>
      </c:lineChart>
      <c:catAx>
        <c:axId val="15852040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badi" panose="020B0604020104020204" pitchFamily="34" charset="0"/>
                    <a:ea typeface="+mn-ea"/>
                    <a:cs typeface="+mn-cs"/>
                  </a:defRPr>
                </a:pPr>
                <a:r>
                  <a:rPr lang="en-GB">
                    <a:latin typeface="Abadi" panose="020B0604020104020204" pitchFamily="34" charset="0"/>
                  </a:rPr>
                  <a:t>Collection time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badi" panose="020B0604020104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badi" panose="020B0604020104020204" pitchFamily="34" charset="0"/>
                <a:ea typeface="+mn-ea"/>
                <a:cs typeface="+mn-cs"/>
              </a:defRPr>
            </a:pPr>
            <a:endParaRPr lang="en-US"/>
          </a:p>
        </c:txPr>
        <c:crossAx val="1415087392"/>
        <c:crosses val="autoZero"/>
        <c:auto val="1"/>
        <c:lblAlgn val="ctr"/>
        <c:lblOffset val="100"/>
        <c:noMultiLvlLbl val="0"/>
      </c:catAx>
      <c:valAx>
        <c:axId val="1415087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badi" panose="020B0604020104020204" pitchFamily="34" charset="0"/>
                    <a:ea typeface="+mn-ea"/>
                    <a:cs typeface="+mn-cs"/>
                  </a:defRPr>
                </a:pPr>
                <a:r>
                  <a:rPr lang="en-GB">
                    <a:latin typeface="Abadi" panose="020B0604020104020204" pitchFamily="34" charset="0"/>
                  </a:rPr>
                  <a:t>Concentration</a:t>
                </a:r>
                <a:r>
                  <a:rPr lang="en-GB" baseline="0">
                    <a:latin typeface="Abadi" panose="020B0604020104020204" pitchFamily="34" charset="0"/>
                  </a:rPr>
                  <a:t> (mg/L)</a:t>
                </a:r>
                <a:endParaRPr lang="en-GB">
                  <a:latin typeface="Abadi" panose="020B0604020104020204" pitchFamily="34" charset="0"/>
                </a:endParaRPr>
              </a:p>
            </c:rich>
          </c:tx>
          <c:layout>
            <c:manualLayout>
              <c:xMode val="edge"/>
              <c:yMode val="edge"/>
              <c:x val="1.2715712988192553E-2"/>
              <c:y val="0.3212331574012388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badi" panose="020B0604020104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badi" panose="020B0604020104020204" pitchFamily="34" charset="0"/>
                <a:ea typeface="+mn-ea"/>
                <a:cs typeface="+mn-cs"/>
              </a:defRPr>
            </a:pPr>
            <a:endParaRPr lang="en-US"/>
          </a:p>
        </c:txPr>
        <c:crossAx val="158520404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badi" panose="020B0604020104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Norit 830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'Isotherms Freudlich Sea Water'!$D$26:$D$28</c:f>
              <c:numCache>
                <c:formatCode>0.0</c:formatCode>
                <c:ptCount val="3"/>
                <c:pt idx="0">
                  <c:v>8.3408986799588583</c:v>
                </c:pt>
                <c:pt idx="1">
                  <c:v>10.024508611567615</c:v>
                </c:pt>
                <c:pt idx="2">
                  <c:v>9.8275951692741934</c:v>
                </c:pt>
              </c:numCache>
            </c:numRef>
          </c:xVal>
          <c:yVal>
            <c:numRef>
              <c:f>'Isotherms Freudlich Sea Water'!$E$26:$E$28</c:f>
              <c:numCache>
                <c:formatCode>0.00</c:formatCode>
                <c:ptCount val="3"/>
                <c:pt idx="0">
                  <c:v>0.37344634330947446</c:v>
                </c:pt>
                <c:pt idx="1">
                  <c:v>0.35661024399338687</c:v>
                </c:pt>
                <c:pt idx="2">
                  <c:v>0.3571507753150609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3EE-4937-999D-4FD04C7C4D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Ce (mg/L)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x/m (mg/g)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'Isotherms Freudlich Sea Water'!$D$29:$D$31</c:f>
              <c:numCache>
                <c:formatCode>0.0</c:formatCode>
                <c:ptCount val="3"/>
                <c:pt idx="0">
                  <c:v>4.7669197023332535</c:v>
                </c:pt>
                <c:pt idx="1">
                  <c:v>5.9385546839791123</c:v>
                </c:pt>
                <c:pt idx="2">
                  <c:v>5.5545734715069406</c:v>
                </c:pt>
              </c:numCache>
            </c:numRef>
          </c:xVal>
          <c:yVal>
            <c:numRef>
              <c:f>'Isotherms Freudlich Sea Water'!$E$29:$E$31</c:f>
              <c:numCache>
                <c:formatCode>0.00</c:formatCode>
                <c:ptCount val="3"/>
                <c:pt idx="0">
                  <c:v>0.40513478523339652</c:v>
                </c:pt>
                <c:pt idx="1">
                  <c:v>0.39275670283524894</c:v>
                </c:pt>
                <c:pt idx="2">
                  <c:v>0.40130959539399369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528-4275-AEB4-CE700F98A9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Ce (mg/L)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x/m (mg/g)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'Isotherms Freudlich Sea Water'!$G$14:$G$16</c:f>
              <c:numCache>
                <c:formatCode>General</c:formatCode>
                <c:ptCount val="3"/>
                <c:pt idx="0">
                  <c:v>1.3769106743372677</c:v>
                </c:pt>
                <c:pt idx="1">
                  <c:v>1.3202289043</c:v>
                </c:pt>
                <c:pt idx="2">
                  <c:v>1.3563238295687292</c:v>
                </c:pt>
              </c:numCache>
            </c:numRef>
          </c:xVal>
          <c:yVal>
            <c:numRef>
              <c:f>'Isotherms Freudlich Sea Water'!$F$14:$F$16</c:f>
              <c:numCache>
                <c:formatCode>0.00</c:formatCode>
                <c:ptCount val="3"/>
                <c:pt idx="0">
                  <c:v>-0.66020607285859711</c:v>
                </c:pt>
                <c:pt idx="1">
                  <c:v>-0.60760512866770877</c:v>
                </c:pt>
                <c:pt idx="2">
                  <c:v>-0.64057360542231889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5CE-4925-974D-83AB442E1F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Log Ce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Log</a:t>
                </a:r>
                <a:r>
                  <a:rPr lang="en-GB" baseline="0"/>
                  <a:t> X/m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'Isotherms Freudlich Sea Water'!$G$17:$G$19</c:f>
              <c:numCache>
                <c:formatCode>General</c:formatCode>
                <c:ptCount val="3"/>
                <c:pt idx="0">
                  <c:v>0.35339170664916081</c:v>
                </c:pt>
                <c:pt idx="1">
                  <c:v>0.26430586776945031</c:v>
                </c:pt>
                <c:pt idx="2">
                  <c:v>0.34766878836396975</c:v>
                </c:pt>
              </c:numCache>
            </c:numRef>
          </c:xVal>
          <c:yVal>
            <c:numRef>
              <c:f>'Isotherms Freudlich Sea Water'!$F$17:$F$19</c:f>
              <c:numCache>
                <c:formatCode>0.00</c:formatCode>
                <c:ptCount val="3"/>
                <c:pt idx="0">
                  <c:v>-0.36221757362866369</c:v>
                </c:pt>
                <c:pt idx="1">
                  <c:v>-0.36151370686485162</c:v>
                </c:pt>
                <c:pt idx="2">
                  <c:v>-0.36018164100513361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0A2-4645-BC36-102514268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Log Ce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Log</a:t>
                </a:r>
                <a:r>
                  <a:rPr lang="en-GB" baseline="0"/>
                  <a:t> X/m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'Isotherms Freudlich Sea Water'!$G$20:$G$22</c:f>
              <c:numCache>
                <c:formatCode>General</c:formatCode>
                <c:ptCount val="3"/>
                <c:pt idx="0">
                  <c:v>0.78993344320410375</c:v>
                </c:pt>
                <c:pt idx="1">
                  <c:v>0.81421091486626385</c:v>
                </c:pt>
                <c:pt idx="2">
                  <c:v>0.62383998313147304</c:v>
                </c:pt>
              </c:numCache>
            </c:numRef>
          </c:xVal>
          <c:yVal>
            <c:numRef>
              <c:f>'Isotherms Freudlich Sea Water'!$F$20:$F$22</c:f>
              <c:numCache>
                <c:formatCode>0.00</c:formatCode>
                <c:ptCount val="3"/>
                <c:pt idx="0">
                  <c:v>-0.40577524397551296</c:v>
                </c:pt>
                <c:pt idx="1">
                  <c:v>-0.4096878333385629</c:v>
                </c:pt>
                <c:pt idx="2">
                  <c:v>-0.37779836687777324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0DD-4338-BD22-8721342C04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Log Ce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Log</a:t>
                </a:r>
                <a:r>
                  <a:rPr lang="en-GB" baseline="0"/>
                  <a:t> X/m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'Isotherms Freudlich Sea Water'!$G$23:$G$25</c:f>
              <c:numCache>
                <c:formatCode>General</c:formatCode>
                <c:ptCount val="3"/>
                <c:pt idx="0">
                  <c:v>0.73452618858423346</c:v>
                </c:pt>
                <c:pt idx="1">
                  <c:v>0.69667773657914234</c:v>
                </c:pt>
                <c:pt idx="2">
                  <c:v>0.52620852860005696</c:v>
                </c:pt>
              </c:numCache>
            </c:numRef>
          </c:xVal>
          <c:yVal>
            <c:numRef>
              <c:f>'Isotherms Freudlich Sea Water'!$F$23:$F$25</c:f>
              <c:numCache>
                <c:formatCode>0.00</c:formatCode>
                <c:ptCount val="3"/>
                <c:pt idx="0">
                  <c:v>-0.40031803335651533</c:v>
                </c:pt>
                <c:pt idx="1">
                  <c:v>-0.3841560324597168</c:v>
                </c:pt>
                <c:pt idx="2">
                  <c:v>-0.37425490782129101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028-4151-91BF-207F2986D9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Log Ce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Log</a:t>
                </a:r>
                <a:r>
                  <a:rPr lang="en-GB" baseline="0"/>
                  <a:t> X/m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'Isotherms Freudlich Sea Water'!$G$26:$G$28</c:f>
              <c:numCache>
                <c:formatCode>General</c:formatCode>
                <c:ptCount val="3"/>
                <c:pt idx="0">
                  <c:v>0.92121284568817274</c:v>
                </c:pt>
                <c:pt idx="1">
                  <c:v>1.001063093260794</c:v>
                </c:pt>
                <c:pt idx="2">
                  <c:v>0.99244725816910506</c:v>
                </c:pt>
              </c:numCache>
            </c:numRef>
          </c:xVal>
          <c:yVal>
            <c:numRef>
              <c:f>'Isotherms Freudlich Sea Water'!$F$26:$F$28</c:f>
              <c:numCache>
                <c:formatCode>0.00</c:formatCode>
                <c:ptCount val="3"/>
                <c:pt idx="0">
                  <c:v>-0.42777178870428051</c:v>
                </c:pt>
                <c:pt idx="1">
                  <c:v>-0.4478061854290315</c:v>
                </c:pt>
                <c:pt idx="2">
                  <c:v>-0.44714840275717038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E43-44DD-A343-58B3D86904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Log Ce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Log</a:t>
                </a:r>
                <a:r>
                  <a:rPr lang="en-GB" baseline="0"/>
                  <a:t> X/m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'Isotherms Freudlich Sea Water'!$G$29:$G$31</c:f>
              <c:numCache>
                <c:formatCode>General</c:formatCode>
                <c:ptCount val="3"/>
                <c:pt idx="0">
                  <c:v>0.67823783639792756</c:v>
                </c:pt>
                <c:pt idx="1">
                  <c:v>0.77368075993915353</c:v>
                </c:pt>
                <c:pt idx="2">
                  <c:v>0.74465071564720897</c:v>
                </c:pt>
              </c:numCache>
            </c:numRef>
          </c:xVal>
          <c:yVal>
            <c:numRef>
              <c:f>'Isotherms Freudlich Sea Water'!$F$29:$F$31</c:f>
              <c:numCache>
                <c:formatCode>0.00</c:formatCode>
                <c:ptCount val="3"/>
                <c:pt idx="0">
                  <c:v>-0.39240046630457387</c:v>
                </c:pt>
                <c:pt idx="1">
                  <c:v>-0.40587639450053697</c:v>
                </c:pt>
                <c:pt idx="2">
                  <c:v>-0.39652045607268221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28B-4A15-A0B5-BA8E141CF3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Log Ce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Log</a:t>
                </a:r>
                <a:r>
                  <a:rPr lang="en-GB" baseline="0"/>
                  <a:t> X/m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Wheat Ground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87440173299822"/>
                  <c:y val="-8.35648253563459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'Isotherms Lingmur Dist Water'!$D$18:$D$20</c:f>
              <c:numCache>
                <c:formatCode>0.000</c:formatCode>
                <c:ptCount val="3"/>
                <c:pt idx="0">
                  <c:v>2.5310048089091371E-2</c:v>
                </c:pt>
                <c:pt idx="1">
                  <c:v>2.5219454711727991E-2</c:v>
                </c:pt>
                <c:pt idx="2">
                  <c:v>3.7026847241197931E-2</c:v>
                </c:pt>
              </c:numCache>
            </c:numRef>
          </c:xVal>
          <c:yVal>
            <c:numRef>
              <c:f>'Isotherms Lingmur Dist Water'!$E$18:$E$20</c:f>
              <c:numCache>
                <c:formatCode>0.00</c:formatCode>
                <c:ptCount val="3"/>
                <c:pt idx="0">
                  <c:v>210.33525238251556</c:v>
                </c:pt>
                <c:pt idx="1">
                  <c:v>210.75628526078998</c:v>
                </c:pt>
                <c:pt idx="2">
                  <c:v>210.28847873320572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5E6-4607-AD73-2EE690E2D6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Ce (mg/L)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x/m (mg/g)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Wheat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'Isotherms Lingmur Dist Water'!$D$21:$D$23</c:f>
              <c:numCache>
                <c:formatCode>0.000</c:formatCode>
                <c:ptCount val="3"/>
                <c:pt idx="0">
                  <c:v>1.7140338145851884E-2</c:v>
                </c:pt>
                <c:pt idx="1">
                  <c:v>2.7079969995019954E-2</c:v>
                </c:pt>
                <c:pt idx="2">
                  <c:v>2.7434765208823354E-2</c:v>
                </c:pt>
              </c:numCache>
            </c:numRef>
          </c:xVal>
          <c:yVal>
            <c:numRef>
              <c:f>'Isotherms Lingmur Dist Water'!$E$21:$E$23</c:f>
              <c:numCache>
                <c:formatCode>0.00</c:formatCode>
                <c:ptCount val="3"/>
                <c:pt idx="0">
                  <c:v>310.7640326507568</c:v>
                </c:pt>
                <c:pt idx="1">
                  <c:v>208.66222098975928</c:v>
                </c:pt>
                <c:pt idx="2">
                  <c:v>210.32677047784594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F52-460F-A6F5-3566A387C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Ce (mg/L)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x/m (mg/g)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badi" panose="020B0604020104020204" pitchFamily="34" charset="0"/>
                <a:ea typeface="+mn-ea"/>
                <a:cs typeface="+mn-cs"/>
              </a:defRPr>
            </a:pPr>
            <a:r>
              <a:rPr lang="en-US">
                <a:latin typeface="Abadi" panose="020B0604020104020204" pitchFamily="34" charset="0"/>
              </a:rPr>
              <a:t>Distilled water with Biochar</a:t>
            </a:r>
          </a:p>
        </c:rich>
      </c:tx>
      <c:layout>
        <c:manualLayout>
          <c:xMode val="edge"/>
          <c:yMode val="edge"/>
          <c:x val="8.6626247990187685E-2"/>
          <c:y val="3.96635696463133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badi" panose="020B0604020104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Wheat Ground</c:v>
          </c:tx>
          <c:spPr>
            <a:solidFill>
              <a:schemeClr val="tx1"/>
            </a:solidFill>
            <a:ln w="6350" cmpd="sng">
              <a:solidFill>
                <a:schemeClr val="tx1"/>
              </a:solidFill>
              <a:prstDash val="solid"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('Distilled water'!$C$31,'Distilled water'!$E$31,'Distilled water'!$G$31,'Distilled water'!$I$31)</c:f>
                <c:numCache>
                  <c:formatCode>General</c:formatCode>
                  <c:ptCount val="4"/>
                  <c:pt idx="0">
                    <c:v>13.539168513177248</c:v>
                  </c:pt>
                  <c:pt idx="1">
                    <c:v>6.9882843755514061</c:v>
                  </c:pt>
                  <c:pt idx="2">
                    <c:v>7.2599155131783366</c:v>
                  </c:pt>
                  <c:pt idx="3">
                    <c:v>7.4985838523449013</c:v>
                  </c:pt>
                </c:numCache>
              </c:numRef>
            </c:plus>
            <c:minus>
              <c:numRef>
                <c:f>('Distilled water'!$C$31,'Distilled water'!$E$31,'Distilled water'!$G$31,'Distilled water'!$I$31)</c:f>
                <c:numCache>
                  <c:formatCode>General</c:formatCode>
                  <c:ptCount val="4"/>
                  <c:pt idx="0">
                    <c:v>13.539168513177248</c:v>
                  </c:pt>
                  <c:pt idx="1">
                    <c:v>6.9882843755514061</c:v>
                  </c:pt>
                  <c:pt idx="2">
                    <c:v>7.2599155131783366</c:v>
                  </c:pt>
                  <c:pt idx="3">
                    <c:v>7.4985838523449013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bg2">
                    <a:lumMod val="75000"/>
                  </a:schemeClr>
                </a:solidFill>
                <a:round/>
              </a:ln>
              <a:effectLst/>
            </c:spPr>
          </c:errBars>
          <c:cat>
            <c:numLit>
              <c:formatCode>General</c:formatCode>
              <c:ptCount val="4"/>
              <c:pt idx="0">
                <c:v>15</c:v>
              </c:pt>
              <c:pt idx="1">
                <c:v>45</c:v>
              </c:pt>
              <c:pt idx="2">
                <c:v>60</c:v>
              </c:pt>
              <c:pt idx="3">
                <c:v>120</c:v>
              </c:pt>
            </c:numLit>
          </c:cat>
          <c:val>
            <c:numRef>
              <c:f>('Distilled water'!$B$31,'Distilled water'!$D$31,'Distilled water'!$F$31,'Distilled water'!$H$31)</c:f>
              <c:numCache>
                <c:formatCode>0.0</c:formatCode>
                <c:ptCount val="4"/>
                <c:pt idx="0">
                  <c:v>30.865901530453907</c:v>
                </c:pt>
                <c:pt idx="1">
                  <c:v>35.458802696125133</c:v>
                </c:pt>
                <c:pt idx="2">
                  <c:v>35.390062938623949</c:v>
                </c:pt>
                <c:pt idx="3">
                  <c:v>34.673722307822139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E1-46F7-AA6F-B22BA1A01D17}"/>
            </c:ext>
          </c:extLst>
        </c:ser>
        <c:ser>
          <c:idx val="1"/>
          <c:order val="1"/>
          <c:tx>
            <c:v>Wheat</c:v>
          </c:tx>
          <c:spPr>
            <a:pattFill prst="dkDnDiag">
              <a:fgClr>
                <a:schemeClr val="bg2">
                  <a:lumMod val="90000"/>
                </a:schemeClr>
              </a:fgClr>
              <a:bgClr>
                <a:schemeClr val="bg1"/>
              </a:bgClr>
            </a:pattFill>
            <a:ln w="6350">
              <a:solidFill>
                <a:schemeClr val="tx1"/>
              </a:solidFill>
              <a:prstDash val="solid"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('Distilled water'!$C$32,'Distilled water'!$E$32,'Distilled water'!$G$32,'Distilled water'!$I$32)</c:f>
                <c:numCache>
                  <c:formatCode>General</c:formatCode>
                  <c:ptCount val="4"/>
                  <c:pt idx="0">
                    <c:v>4.0563459714415497</c:v>
                  </c:pt>
                  <c:pt idx="1">
                    <c:v>1.9849713124812256</c:v>
                  </c:pt>
                  <c:pt idx="2">
                    <c:v>0.33768621178627078</c:v>
                  </c:pt>
                  <c:pt idx="3">
                    <c:v>2.7613731537525519</c:v>
                  </c:pt>
                </c:numCache>
              </c:numRef>
            </c:plus>
            <c:minus>
              <c:numRef>
                <c:f>('Distilled water'!$C$32,'Distilled water'!$E$32,'Distilled water'!$G$32,'Distilled water'!$I$32)</c:f>
                <c:numCache>
                  <c:formatCode>General</c:formatCode>
                  <c:ptCount val="4"/>
                  <c:pt idx="0">
                    <c:v>4.0563459714415497</c:v>
                  </c:pt>
                  <c:pt idx="1">
                    <c:v>1.9849713124812256</c:v>
                  </c:pt>
                  <c:pt idx="2">
                    <c:v>0.33768621178627078</c:v>
                  </c:pt>
                  <c:pt idx="3">
                    <c:v>2.7613731537525519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bg2">
                    <a:lumMod val="75000"/>
                  </a:schemeClr>
                </a:solidFill>
                <a:round/>
              </a:ln>
              <a:effectLst/>
            </c:spPr>
          </c:errBars>
          <c:val>
            <c:numRef>
              <c:f>('Distilled water'!$B$32,'Distilled water'!$D$32,'Distilled water'!$F$32,'Distilled water'!$H$32)</c:f>
              <c:numCache>
                <c:formatCode>0.0</c:formatCode>
                <c:ptCount val="4"/>
                <c:pt idx="0">
                  <c:v>37.969612785905234</c:v>
                </c:pt>
                <c:pt idx="1">
                  <c:v>34.507299737029797</c:v>
                </c:pt>
                <c:pt idx="2">
                  <c:v>36.688882567198959</c:v>
                </c:pt>
                <c:pt idx="3">
                  <c:v>34.409616923738639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E1-46F7-AA6F-B22BA1A01D17}"/>
            </c:ext>
          </c:extLst>
        </c:ser>
        <c:ser>
          <c:idx val="2"/>
          <c:order val="2"/>
          <c:tx>
            <c:v>Rice Ground</c:v>
          </c:tx>
          <c:spPr>
            <a:pattFill prst="pct80">
              <a:fgClr>
                <a:schemeClr val="bg2">
                  <a:lumMod val="90000"/>
                </a:schemeClr>
              </a:fgClr>
              <a:bgClr>
                <a:schemeClr val="bg1"/>
              </a:bgClr>
            </a:pattFill>
            <a:ln w="6350">
              <a:solidFill>
                <a:schemeClr val="tx1"/>
              </a:solidFill>
              <a:prstDash val="solid"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('Distilled water'!$C$33,'Distilled water'!$E$33,'Distilled water'!$G$33,'Distilled water'!$I$33)</c:f>
                <c:numCache>
                  <c:formatCode>General</c:formatCode>
                  <c:ptCount val="4"/>
                  <c:pt idx="0">
                    <c:v>1.3891182803026301</c:v>
                  </c:pt>
                  <c:pt idx="1">
                    <c:v>2.2256591231368064</c:v>
                  </c:pt>
                  <c:pt idx="2">
                    <c:v>0.97468520220129484</c:v>
                  </c:pt>
                  <c:pt idx="3">
                    <c:v>6.9072179683555834E-2</c:v>
                  </c:pt>
                </c:numCache>
              </c:numRef>
            </c:plus>
            <c:minus>
              <c:numRef>
                <c:f>('Distilled water'!$C$33,'Distilled water'!$E$33,'Distilled water'!$G$33,'Distilled water'!$I$33)</c:f>
                <c:numCache>
                  <c:formatCode>General</c:formatCode>
                  <c:ptCount val="4"/>
                  <c:pt idx="0">
                    <c:v>1.3891182803026301</c:v>
                  </c:pt>
                  <c:pt idx="1">
                    <c:v>2.2256591231368064</c:v>
                  </c:pt>
                  <c:pt idx="2">
                    <c:v>0.97468520220129484</c:v>
                  </c:pt>
                  <c:pt idx="3">
                    <c:v>6.9072179683555834E-2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bg2">
                    <a:lumMod val="75000"/>
                  </a:schemeClr>
                </a:solidFill>
                <a:round/>
              </a:ln>
              <a:effectLst/>
            </c:spPr>
          </c:errBars>
          <c:val>
            <c:numRef>
              <c:f>('Distilled water'!$B$33,'Distilled water'!$D$33,'Distilled water'!$F$33,'Distilled water'!$H$33)</c:f>
              <c:numCache>
                <c:formatCode>0.0</c:formatCode>
                <c:ptCount val="4"/>
                <c:pt idx="0">
                  <c:v>12.143362316315585</c:v>
                </c:pt>
                <c:pt idx="1">
                  <c:v>6.4397713847041711</c:v>
                </c:pt>
                <c:pt idx="2">
                  <c:v>5.5551992421231429</c:v>
                </c:pt>
                <c:pt idx="3">
                  <c:v>5.7180039309417374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2E1-46F7-AA6F-B22BA1A01D17}"/>
            </c:ext>
          </c:extLst>
        </c:ser>
        <c:ser>
          <c:idx val="7"/>
          <c:order val="4"/>
          <c:tx>
            <c:v>Rice</c:v>
          </c:tx>
          <c:spPr>
            <a:pattFill prst="dkVert">
              <a:fgClr>
                <a:schemeClr val="bg2">
                  <a:lumMod val="90000"/>
                </a:schemeClr>
              </a:fgClr>
              <a:bgClr>
                <a:schemeClr val="bg1"/>
              </a:bgClr>
            </a:pattFill>
            <a:ln w="6350">
              <a:solidFill>
                <a:schemeClr val="tx1"/>
              </a:solidFill>
              <a:prstDash val="solid"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('Distilled water'!$C$34,'Distilled water'!$E$34,'Distilled water'!$G$34,'Distilled water'!$I$34)</c:f>
                <c:numCache>
                  <c:formatCode>General</c:formatCode>
                  <c:ptCount val="4"/>
                  <c:pt idx="0">
                    <c:v>4.2958277176041921</c:v>
                  </c:pt>
                  <c:pt idx="1">
                    <c:v>1.3870744337764831</c:v>
                  </c:pt>
                  <c:pt idx="2">
                    <c:v>0.60550634934459446</c:v>
                  </c:pt>
                  <c:pt idx="3">
                    <c:v>0.64250772600164685</c:v>
                  </c:pt>
                </c:numCache>
              </c:numRef>
            </c:plus>
            <c:minus>
              <c:numRef>
                <c:f>('Distilled water'!$C$34,'Distilled water'!$E$34,'Distilled water'!$G$34,'Distilled water'!$I$34)</c:f>
                <c:numCache>
                  <c:formatCode>General</c:formatCode>
                  <c:ptCount val="4"/>
                  <c:pt idx="0">
                    <c:v>4.2958277176041921</c:v>
                  </c:pt>
                  <c:pt idx="1">
                    <c:v>1.3870744337764831</c:v>
                  </c:pt>
                  <c:pt idx="2">
                    <c:v>0.60550634934459446</c:v>
                  </c:pt>
                  <c:pt idx="3">
                    <c:v>0.64250772600164685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bg2">
                    <a:lumMod val="75000"/>
                  </a:schemeClr>
                </a:solidFill>
                <a:round/>
              </a:ln>
              <a:effectLst/>
            </c:spPr>
          </c:errBars>
          <c:val>
            <c:numRef>
              <c:f>('Distilled water'!$B$34,'Distilled water'!$D$34,'Distilled water'!$F$34,'Distilled water'!$H$34)</c:f>
              <c:numCache>
                <c:formatCode>0.0</c:formatCode>
                <c:ptCount val="4"/>
                <c:pt idx="0">
                  <c:v>12.293504418226069</c:v>
                </c:pt>
                <c:pt idx="1">
                  <c:v>4.4499362991435767</c:v>
                </c:pt>
                <c:pt idx="2">
                  <c:v>2.5396946170054058</c:v>
                </c:pt>
                <c:pt idx="3">
                  <c:v>2.3624184002918249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2E1-46F7-AA6F-B22BA1A01D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85204048"/>
        <c:axId val="1415087392"/>
      </c:barChart>
      <c:lineChart>
        <c:grouping val="standard"/>
        <c:varyColors val="0"/>
        <c:ser>
          <c:idx val="6"/>
          <c:order val="3"/>
          <c:tx>
            <c:v>Control</c:v>
          </c:tx>
          <c:spPr>
            <a:ln w="6350" cap="rnd">
              <a:solidFill>
                <a:schemeClr val="bg2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('Distilled water'!$C$38,'Distilled water'!$E$38,'Distilled water'!$G$38,'Distilled water'!$I$38)</c:f>
                <c:numCache>
                  <c:formatCode>General</c:formatCode>
                  <c:ptCount val="4"/>
                  <c:pt idx="0">
                    <c:v>0.92294821185589948</c:v>
                  </c:pt>
                  <c:pt idx="1">
                    <c:v>0.33404729277836515</c:v>
                  </c:pt>
                  <c:pt idx="2">
                    <c:v>15.524087833702723</c:v>
                  </c:pt>
                  <c:pt idx="3">
                    <c:v>0.7625989744514402</c:v>
                  </c:pt>
                </c:numCache>
              </c:numRef>
            </c:plus>
            <c:minus>
              <c:numRef>
                <c:f>('Distilled water'!$C$38,'Distilled water'!$E$38,'Distilled water'!$G$38,'Distilled water'!$I$38)</c:f>
                <c:numCache>
                  <c:formatCode>General</c:formatCode>
                  <c:ptCount val="4"/>
                  <c:pt idx="0">
                    <c:v>0.92294821185589948</c:v>
                  </c:pt>
                  <c:pt idx="1">
                    <c:v>0.33404729277836515</c:v>
                  </c:pt>
                  <c:pt idx="2">
                    <c:v>15.524087833702723</c:v>
                  </c:pt>
                  <c:pt idx="3">
                    <c:v>0.7625989744514402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bg2"/>
                </a:solidFill>
                <a:round/>
              </a:ln>
              <a:effectLst/>
            </c:spPr>
          </c:errBars>
          <c:val>
            <c:numRef>
              <c:f>('Distilled water'!$B$38,'Distilled water'!$D$38,'Distilled water'!$F$38,'Distilled water'!$H$38)</c:f>
              <c:numCache>
                <c:formatCode>0.0</c:formatCode>
                <c:ptCount val="4"/>
                <c:pt idx="0">
                  <c:v>56.69034305905668</c:v>
                </c:pt>
                <c:pt idx="1">
                  <c:v>52.258437641217171</c:v>
                </c:pt>
                <c:pt idx="2">
                  <c:v>60.600868663533106</c:v>
                </c:pt>
                <c:pt idx="3">
                  <c:v>54.494288700992534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2E1-46F7-AA6F-B22BA1A01D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5204048"/>
        <c:axId val="1415087392"/>
      </c:lineChart>
      <c:catAx>
        <c:axId val="15852040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badi" panose="020B0604020104020204" pitchFamily="34" charset="0"/>
                    <a:ea typeface="+mn-ea"/>
                    <a:cs typeface="+mn-cs"/>
                  </a:defRPr>
                </a:pPr>
                <a:r>
                  <a:rPr lang="en-GB">
                    <a:latin typeface="Abadi" panose="020B0604020104020204" pitchFamily="34" charset="0"/>
                  </a:rPr>
                  <a:t>Collection time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badi" panose="020B0604020104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badi" panose="020B0604020104020204" pitchFamily="34" charset="0"/>
                <a:ea typeface="+mn-ea"/>
                <a:cs typeface="+mn-cs"/>
              </a:defRPr>
            </a:pPr>
            <a:endParaRPr lang="en-US"/>
          </a:p>
        </c:txPr>
        <c:crossAx val="1415087392"/>
        <c:crosses val="autoZero"/>
        <c:auto val="1"/>
        <c:lblAlgn val="ctr"/>
        <c:lblOffset val="100"/>
        <c:noMultiLvlLbl val="0"/>
      </c:catAx>
      <c:valAx>
        <c:axId val="1415087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badi" panose="020B0604020104020204" pitchFamily="34" charset="0"/>
                    <a:ea typeface="+mn-ea"/>
                    <a:cs typeface="+mn-cs"/>
                  </a:defRPr>
                </a:pPr>
                <a:r>
                  <a:rPr lang="en-GB">
                    <a:latin typeface="Abadi" panose="020B0604020104020204" pitchFamily="34" charset="0"/>
                  </a:rPr>
                  <a:t>Concentration</a:t>
                </a:r>
                <a:r>
                  <a:rPr lang="en-GB" baseline="0">
                    <a:latin typeface="Abadi" panose="020B0604020104020204" pitchFamily="34" charset="0"/>
                  </a:rPr>
                  <a:t> (mg/L)</a:t>
                </a:r>
                <a:endParaRPr lang="en-GB">
                  <a:latin typeface="Abadi" panose="020B0604020104020204" pitchFamily="34" charset="0"/>
                </a:endParaRPr>
              </a:p>
            </c:rich>
          </c:tx>
          <c:layout>
            <c:manualLayout>
              <c:xMode val="edge"/>
              <c:yMode val="edge"/>
              <c:x val="1.2715712988192553E-2"/>
              <c:y val="0.3212331574012388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badi" panose="020B0604020104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badi" panose="020B0604020104020204" pitchFamily="34" charset="0"/>
                <a:ea typeface="+mn-ea"/>
                <a:cs typeface="+mn-cs"/>
              </a:defRPr>
            </a:pPr>
            <a:endParaRPr lang="en-US"/>
          </a:p>
        </c:txPr>
        <c:crossAx val="158520404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badi" panose="020B0604020104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Rice Ground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'Isotherms Lingmur Dist Water'!$D$24:$D$26</c:f>
              <c:numCache>
                <c:formatCode>0.000</c:formatCode>
                <c:ptCount val="3"/>
                <c:pt idx="0">
                  <c:v>0.16014334089346102</c:v>
                </c:pt>
                <c:pt idx="1">
                  <c:v>0.20550791098211529</c:v>
                </c:pt>
                <c:pt idx="2">
                  <c:v>4.9393426504079956E-2</c:v>
                </c:pt>
              </c:numCache>
            </c:numRef>
          </c:xVal>
          <c:yVal>
            <c:numRef>
              <c:f>'Isotherms Lingmur Dist Water'!$E$24:$E$26</c:f>
              <c:numCache>
                <c:formatCode>0.00</c:formatCode>
                <c:ptCount val="3"/>
                <c:pt idx="0">
                  <c:v>210.21658971606308</c:v>
                </c:pt>
                <c:pt idx="1">
                  <c:v>207.54459628034436</c:v>
                </c:pt>
                <c:pt idx="2">
                  <c:v>210.23911115131799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F7B-4A52-B118-FA9CBA2A90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1/Ce (mg/L)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1/x/m (mg/g)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Rice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'Isotherms Lingmur Dist Water'!$D$27:$D$29</c:f>
              <c:numCache>
                <c:formatCode>0.000</c:formatCode>
                <c:ptCount val="3"/>
                <c:pt idx="0">
                  <c:v>0.54092674468688162</c:v>
                </c:pt>
                <c:pt idx="1">
                  <c:v>0.3580448289490939</c:v>
                </c:pt>
                <c:pt idx="2">
                  <c:v>0.33585692466848976</c:v>
                </c:pt>
              </c:numCache>
            </c:numRef>
          </c:xVal>
          <c:yVal>
            <c:numRef>
              <c:f>'Isotherms Lingmur Dist Water'!$E$27:$E$29</c:f>
              <c:numCache>
                <c:formatCode>0.00</c:formatCode>
                <c:ptCount val="3"/>
                <c:pt idx="0">
                  <c:v>208.27690229629681</c:v>
                </c:pt>
                <c:pt idx="1">
                  <c:v>209.00696982419217</c:v>
                </c:pt>
                <c:pt idx="2">
                  <c:v>207.43934196134947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A1E-47A4-8720-5AD84AAA4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Ce (mg/L)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x/m (mg/g)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Norit 1240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'Isotherms Lingmur Dist Water'!$D$30:$D$32</c:f>
              <c:numCache>
                <c:formatCode>0.000</c:formatCode>
                <c:ptCount val="3"/>
                <c:pt idx="0">
                  <c:v>0.12378272196838194</c:v>
                </c:pt>
                <c:pt idx="1">
                  <c:v>8.7720163361019649E-2</c:v>
                </c:pt>
                <c:pt idx="2">
                  <c:v>4.2688109071975545E-2</c:v>
                </c:pt>
              </c:numCache>
            </c:numRef>
          </c:xVal>
          <c:yVal>
            <c:numRef>
              <c:f>'Isotherms Lingmur Dist Water'!$E$30:$E$32</c:f>
              <c:numCache>
                <c:formatCode>0.00</c:formatCode>
                <c:ptCount val="3"/>
                <c:pt idx="0">
                  <c:v>207.86762074284923</c:v>
                </c:pt>
                <c:pt idx="1">
                  <c:v>209.25077775963504</c:v>
                </c:pt>
                <c:pt idx="2">
                  <c:v>210.68641064334901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485-4ED5-AF3C-8109AC0DB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Ce (mg/L)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x/m (mg/g)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Norit 830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'Isotherms Lingmur Dist Water'!$D$33:$D$35</c:f>
              <c:numCache>
                <c:formatCode>0.000</c:formatCode>
                <c:ptCount val="3"/>
                <c:pt idx="0">
                  <c:v>0.14490545733686896</c:v>
                </c:pt>
                <c:pt idx="1">
                  <c:v>0.14433793769659778</c:v>
                </c:pt>
                <c:pt idx="2">
                  <c:v>0.12781821199530544</c:v>
                </c:pt>
              </c:numCache>
            </c:numRef>
          </c:xVal>
          <c:yVal>
            <c:numRef>
              <c:f>'Isotherms Lingmur Dist Water'!$E$33:$E$35</c:f>
              <c:numCache>
                <c:formatCode>0.00</c:formatCode>
                <c:ptCount val="3"/>
                <c:pt idx="0">
                  <c:v>209.43978212180227</c:v>
                </c:pt>
                <c:pt idx="1">
                  <c:v>209.02565738454325</c:v>
                </c:pt>
                <c:pt idx="2">
                  <c:v>209.92603815534505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ABC-42F9-B222-4349A8A7BE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Ce (mg/L)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x/m (mg/g)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3.947158904756129E-2"/>
                  <c:y val="0.197693690281882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'Isotherms Lingmur Dist Water'!$D$36:$D$38</c:f>
              <c:numCache>
                <c:formatCode>0.000</c:formatCode>
                <c:ptCount val="3"/>
                <c:pt idx="0">
                  <c:v>6.9940776093918453E-2</c:v>
                </c:pt>
                <c:pt idx="1">
                  <c:v>6.4415254657099977E-2</c:v>
                </c:pt>
                <c:pt idx="2">
                  <c:v>5.9583052287193232E-2</c:v>
                </c:pt>
              </c:numCache>
            </c:numRef>
          </c:xVal>
          <c:yVal>
            <c:numRef>
              <c:f>'Isotherms Lingmur Dist Water'!$E$36:$E$38</c:f>
              <c:numCache>
                <c:formatCode>0.00</c:formatCode>
                <c:ptCount val="3"/>
                <c:pt idx="0">
                  <c:v>209.32147114837105</c:v>
                </c:pt>
                <c:pt idx="1">
                  <c:v>209.76046022012804</c:v>
                </c:pt>
                <c:pt idx="2">
                  <c:v>208.53349591137439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143-4931-9F63-9D85DAEBD7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Ce (mg/L)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x/m (mg/g)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Wheat Ground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'Isotherms Lingmur Sea wat'!$D$18:$D$20</c:f>
              <c:numCache>
                <c:formatCode>0.0</c:formatCode>
                <c:ptCount val="3"/>
                <c:pt idx="0">
                  <c:v>4.9133726559341756E-2</c:v>
                </c:pt>
                <c:pt idx="1">
                  <c:v>4.9710875263266445E-2</c:v>
                </c:pt>
                <c:pt idx="2">
                  <c:v>4.1268062793264303E-2</c:v>
                </c:pt>
              </c:numCache>
            </c:numRef>
          </c:xVal>
          <c:yVal>
            <c:numRef>
              <c:f>'Isotherms Lingmur Sea wat'!$E$18:$E$20</c:f>
              <c:numCache>
                <c:formatCode>0.00</c:formatCode>
                <c:ptCount val="3"/>
                <c:pt idx="0">
                  <c:v>-0.10876231250448319</c:v>
                </c:pt>
                <c:pt idx="1">
                  <c:v>-0.11128843194519092</c:v>
                </c:pt>
                <c:pt idx="2">
                  <c:v>-7.7362457150880581E-2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2A7-422C-BE2B-078F6D8268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Ce (mg/L)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x/m (mg/g)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Wheat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'Isotherms Lingmur Sea wat'!$D$21:$D$23</c:f>
              <c:numCache>
                <c:formatCode>0.0</c:formatCode>
                <c:ptCount val="3"/>
                <c:pt idx="0">
                  <c:v>4.1984532887281045E-2</c:v>
                </c:pt>
                <c:pt idx="1">
                  <c:v>4.7837788645135389E-2</c:v>
                </c:pt>
                <c:pt idx="2">
                  <c:v>4.4022648835560264E-2</c:v>
                </c:pt>
              </c:numCache>
            </c:numRef>
          </c:xVal>
          <c:yVal>
            <c:numRef>
              <c:f>'Isotherms Lingmur Sea wat'!$E$21:$E$23</c:f>
              <c:numCache>
                <c:formatCode>0.00</c:formatCode>
                <c:ptCount val="3"/>
                <c:pt idx="0">
                  <c:v>-8.1019940473024993E-2</c:v>
                </c:pt>
                <c:pt idx="1">
                  <c:v>-0.10338255525166004</c:v>
                </c:pt>
                <c:pt idx="2">
                  <c:v>-8.8182795054149582E-2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C95-4351-BB78-FF5CB0163F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Ce (mg/L)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x/m (mg/g)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Rice Ground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'Isotherms Lingmur Sea wat'!$D$24:$D$26</c:f>
              <c:numCache>
                <c:formatCode>0.0</c:formatCode>
                <c:ptCount val="3"/>
                <c:pt idx="0">
                  <c:v>0.44320871686841029</c:v>
                </c:pt>
                <c:pt idx="1">
                  <c:v>0.54411930194896407</c:v>
                </c:pt>
                <c:pt idx="2">
                  <c:v>0.44908775298646003</c:v>
                </c:pt>
              </c:numCache>
            </c:numRef>
          </c:xVal>
          <c:yVal>
            <c:numRef>
              <c:f>'Isotherms Lingmur Sea wat'!$E$24:$E$26</c:f>
              <c:numCache>
                <c:formatCode>0.00</c:formatCode>
                <c:ptCount val="3"/>
                <c:pt idx="0">
                  <c:v>-1.6852797983657664</c:v>
                </c:pt>
                <c:pt idx="1">
                  <c:v>-2.0723433915555369</c:v>
                </c:pt>
                <c:pt idx="2">
                  <c:v>-1.7156585771465516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693-42DC-BF95-335D94E24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1/Ce (mg/L)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1/x/m (mg/g)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Rice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'Isotherms Lingmur Sea wat'!$D$27:$D$29</c:f>
              <c:numCache>
                <c:formatCode>0.0</c:formatCode>
                <c:ptCount val="3"/>
                <c:pt idx="0">
                  <c:v>0.16220586631588441</c:v>
                </c:pt>
                <c:pt idx="1">
                  <c:v>0.15338718778855415</c:v>
                </c:pt>
                <c:pt idx="2">
                  <c:v>0.23777162006226588</c:v>
                </c:pt>
              </c:numCache>
            </c:numRef>
          </c:xVal>
          <c:yVal>
            <c:numRef>
              <c:f>'Isotherms Lingmur Sea wat'!$E$27:$E$29</c:f>
              <c:numCache>
                <c:formatCode>0.00</c:formatCode>
                <c:ptCount val="3"/>
                <c:pt idx="0">
                  <c:v>-0.55792087093008214</c:v>
                </c:pt>
                <c:pt idx="1">
                  <c:v>-0.52285654278960403</c:v>
                </c:pt>
                <c:pt idx="2">
                  <c:v>-0.87225395064766509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5A31-404C-A8A6-108B572349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Ce (mg/L)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x/m (mg/g)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Norit 1240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'Isotherms Lingmur Sea wat'!$D$30:$D$32</c:f>
              <c:numCache>
                <c:formatCode>0.0</c:formatCode>
                <c:ptCount val="3"/>
                <c:pt idx="0">
                  <c:v>0.18427813632435075</c:v>
                </c:pt>
                <c:pt idx="1">
                  <c:v>0.20105841909895963</c:v>
                </c:pt>
                <c:pt idx="2">
                  <c:v>0.29770866236234067</c:v>
                </c:pt>
              </c:numCache>
            </c:numRef>
          </c:xVal>
          <c:yVal>
            <c:numRef>
              <c:f>'Isotherms Lingmur Sea wat'!$E$30:$E$32</c:f>
              <c:numCache>
                <c:formatCode>0.00</c:formatCode>
                <c:ptCount val="3"/>
                <c:pt idx="0">
                  <c:v>-0.64185521362601594</c:v>
                </c:pt>
                <c:pt idx="1">
                  <c:v>-0.7268545712859672</c:v>
                </c:pt>
                <c:pt idx="2">
                  <c:v>-1.1010774254905069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135-4FAD-89AC-F9846ED1E0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Ce (mg/L)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x/m (mg/g)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badi" panose="020B0604020104020204" pitchFamily="34" charset="0"/>
                <a:ea typeface="+mn-ea"/>
                <a:cs typeface="+mn-cs"/>
              </a:defRPr>
            </a:pPr>
            <a:r>
              <a:rPr lang="en-US">
                <a:latin typeface="Abadi" panose="020B0604020104020204" pitchFamily="34" charset="0"/>
              </a:rPr>
              <a:t>TNT Concentration overtime in seawater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badi" panose="020B0604020104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9549714413832311"/>
          <c:y val="9.7687281711542354E-2"/>
          <c:w val="0.78729315560242263"/>
          <c:h val="0.78695282449313109"/>
        </c:manualLayout>
      </c:layout>
      <c:lineChart>
        <c:grouping val="standard"/>
        <c:varyColors val="0"/>
        <c:ser>
          <c:idx val="0"/>
          <c:order val="0"/>
          <c:tx>
            <c:v>Wheat Crushed</c:v>
          </c:tx>
          <c:spPr>
            <a:ln w="12700" cap="rnd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diamond"/>
            <c:size val="6"/>
            <c:spPr>
              <a:solidFill>
                <a:schemeClr val="tx2"/>
              </a:solidFill>
              <a:ln w="9525">
                <a:noFill/>
              </a:ln>
              <a:effectLst/>
            </c:spPr>
          </c:marker>
          <c:cat>
            <c:numLit>
              <c:formatCode>General</c:formatCode>
              <c:ptCount val="4"/>
              <c:pt idx="0">
                <c:v>15</c:v>
              </c:pt>
              <c:pt idx="1">
                <c:v>45</c:v>
              </c:pt>
              <c:pt idx="2">
                <c:v>60</c:v>
              </c:pt>
              <c:pt idx="3">
                <c:v>120</c:v>
              </c:pt>
            </c:numLit>
          </c:cat>
          <c:val>
            <c:numRef>
              <c:f>('Sea water'!$B$31,'Sea water'!$D$31,'Sea water'!$F$31,'Sea water'!$H$31)</c:f>
              <c:numCache>
                <c:formatCode>0.0</c:formatCode>
                <c:ptCount val="4"/>
                <c:pt idx="0">
                  <c:v>37.214973101584285</c:v>
                </c:pt>
                <c:pt idx="1">
                  <c:v>23.1750446660633</c:v>
                </c:pt>
                <c:pt idx="2">
                  <c:v>19.369692393742927</c:v>
                </c:pt>
                <c:pt idx="3">
                  <c:v>21.566918220667024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64-418D-8FFF-9CA9B2C9A908}"/>
            </c:ext>
          </c:extLst>
        </c:ser>
        <c:ser>
          <c:idx val="1"/>
          <c:order val="1"/>
          <c:tx>
            <c:v>Wheat</c:v>
          </c:tx>
          <c:spPr>
            <a:ln w="12700" cap="rnd">
              <a:solidFill>
                <a:srgbClr val="7030A0"/>
              </a:solidFill>
              <a:prstDash val="solid"/>
              <a:round/>
            </a:ln>
            <a:effectLst/>
          </c:spPr>
          <c:marker>
            <c:symbol val="square"/>
            <c:size val="6"/>
            <c:spPr>
              <a:solidFill>
                <a:srgbClr val="7030A0"/>
              </a:solidFill>
              <a:ln w="9525">
                <a:noFill/>
                <a:prstDash val="sysDash"/>
              </a:ln>
              <a:effectLst/>
            </c:spPr>
          </c:marker>
          <c:val>
            <c:numRef>
              <c:f>('Sea water'!$B$32,'Sea water'!$D$32,'Sea water'!$F$32,'Sea water'!$H$32)</c:f>
              <c:numCache>
                <c:formatCode>0.0</c:formatCode>
                <c:ptCount val="4"/>
                <c:pt idx="0">
                  <c:v>31.642322684680437</c:v>
                </c:pt>
                <c:pt idx="1">
                  <c:v>24.809426237098695</c:v>
                </c:pt>
                <c:pt idx="2">
                  <c:v>24.313860740660257</c:v>
                </c:pt>
                <c:pt idx="3">
                  <c:v>22.479283836626546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64-418D-8FFF-9CA9B2C9A908}"/>
            </c:ext>
          </c:extLst>
        </c:ser>
        <c:ser>
          <c:idx val="2"/>
          <c:order val="2"/>
          <c:tx>
            <c:v>Rice Crushed</c:v>
          </c:tx>
          <c:spPr>
            <a:ln w="12700" cap="rnd">
              <a:solidFill>
                <a:srgbClr val="CC00FF"/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('Sea water'!$B$33,'Sea water'!$D$33,'Sea water'!$F$33,'Sea water'!$H$33)</c:f>
              <c:numCache>
                <c:formatCode>0.0</c:formatCode>
                <c:ptCount val="4"/>
                <c:pt idx="0">
                  <c:v>15.813763814994218</c:v>
                </c:pt>
                <c:pt idx="1">
                  <c:v>9.3566438531224261</c:v>
                </c:pt>
                <c:pt idx="2">
                  <c:v>5.8450207988897374</c:v>
                </c:pt>
                <c:pt idx="3">
                  <c:v>2.1069472860196137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F64-418D-8FFF-9CA9B2C9A908}"/>
            </c:ext>
          </c:extLst>
        </c:ser>
        <c:ser>
          <c:idx val="3"/>
          <c:order val="3"/>
          <c:tx>
            <c:v>Norit 1240</c:v>
          </c:tx>
          <c:spPr>
            <a:ln w="12700" cap="rnd">
              <a:solidFill>
                <a:schemeClr val="accent4"/>
              </a:solidFill>
              <a:prstDash val="solid"/>
              <a:round/>
            </a:ln>
            <a:effectLst/>
          </c:spPr>
          <c:marker>
            <c:symbol val="dash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('Sea water'!$B$35,'Sea water'!$D$35,'Sea water'!$F$35,'Sea water'!$H$35)</c:f>
              <c:numCache>
                <c:formatCode>0.0</c:formatCode>
                <c:ptCount val="4"/>
                <c:pt idx="0">
                  <c:v>15.095029750623226</c:v>
                </c:pt>
                <c:pt idx="1">
                  <c:v>12.128200553402337</c:v>
                </c:pt>
                <c:pt idx="2">
                  <c:v>6.7360541252674713</c:v>
                </c:pt>
                <c:pt idx="3">
                  <c:v>4.5864157135642838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F64-418D-8FFF-9CA9B2C9A908}"/>
            </c:ext>
          </c:extLst>
        </c:ser>
        <c:ser>
          <c:idx val="4"/>
          <c:order val="4"/>
          <c:tx>
            <c:v>Norit 830</c:v>
          </c:tx>
          <c:spPr>
            <a:ln w="12700" cap="rnd">
              <a:solidFill>
                <a:srgbClr val="9999FF"/>
              </a:solidFill>
              <a:prstDash val="solid"/>
              <a:round/>
            </a:ln>
            <a:effectLst/>
          </c:spPr>
          <c:marker>
            <c:symbol val="star"/>
            <c:size val="6"/>
            <c:spPr>
              <a:solidFill>
                <a:srgbClr val="9999FF"/>
              </a:solidFill>
              <a:ln w="9525">
                <a:noFill/>
              </a:ln>
              <a:effectLst/>
            </c:spPr>
          </c:marker>
          <c:val>
            <c:numRef>
              <c:f>('Sea water'!$B$36,'Sea water'!$D$36,'Sea water'!$F$36,'Sea water'!$H$36)</c:f>
              <c:numCache>
                <c:formatCode>0.0</c:formatCode>
                <c:ptCount val="4"/>
                <c:pt idx="0">
                  <c:v>21.350313434144258</c:v>
                </c:pt>
                <c:pt idx="1">
                  <c:v>13.534490720447858</c:v>
                </c:pt>
                <c:pt idx="2">
                  <c:v>12.046153285780079</c:v>
                </c:pt>
                <c:pt idx="3">
                  <c:v>9.397667486933555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F64-418D-8FFF-9CA9B2C9A908}"/>
            </c:ext>
          </c:extLst>
        </c:ser>
        <c:ser>
          <c:idx val="5"/>
          <c:order val="5"/>
          <c:tx>
            <c:v>Activated Carbon</c:v>
          </c:tx>
          <c:spPr>
            <a:ln w="12700" cap="rnd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('Sea water'!$B$37,'Sea water'!$D$37,'Sea water'!$F$37,'Sea water'!$H$37)</c:f>
              <c:numCache>
                <c:formatCode>0.0</c:formatCode>
                <c:ptCount val="4"/>
                <c:pt idx="0">
                  <c:v>19.998174463729427</c:v>
                </c:pt>
                <c:pt idx="1">
                  <c:v>13.764223069790186</c:v>
                </c:pt>
                <c:pt idx="2">
                  <c:v>10.237831507385488</c:v>
                </c:pt>
                <c:pt idx="3">
                  <c:v>5.4200159526064349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F64-418D-8FFF-9CA9B2C9A908}"/>
            </c:ext>
          </c:extLst>
        </c:ser>
        <c:ser>
          <c:idx val="6"/>
          <c:order val="6"/>
          <c:tx>
            <c:v>Control</c:v>
          </c:tx>
          <c:spPr>
            <a:ln w="15875" cap="rnd">
              <a:solidFill>
                <a:srgbClr val="996633"/>
              </a:solidFill>
              <a:prstDash val="solid"/>
              <a:round/>
            </a:ln>
            <a:effectLst/>
          </c:spPr>
          <c:marker>
            <c:symbol val="circle"/>
            <c:size val="6"/>
            <c:spPr>
              <a:solidFill>
                <a:srgbClr val="996633"/>
              </a:solidFill>
              <a:ln w="9525">
                <a:solidFill>
                  <a:srgbClr val="996633"/>
                </a:solidFill>
              </a:ln>
              <a:effectLst/>
            </c:spPr>
          </c:marker>
          <c:val>
            <c:numRef>
              <c:f>('Sea water'!$B$38,'Sea water'!$D$38,'Sea water'!$F$38,'Sea water'!$H$38)</c:f>
              <c:numCache>
                <c:formatCode>0.0</c:formatCode>
                <c:ptCount val="4"/>
                <c:pt idx="0">
                  <c:v>49.935581473739319</c:v>
                </c:pt>
                <c:pt idx="1">
                  <c:v>50.401609953833749</c:v>
                </c:pt>
                <c:pt idx="2">
                  <c:v>50.887329778157529</c:v>
                </c:pt>
                <c:pt idx="3">
                  <c:v>46.3681662775235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F64-418D-8FFF-9CA9B2C9A908}"/>
            </c:ext>
          </c:extLst>
        </c:ser>
        <c:ser>
          <c:idx val="7"/>
          <c:order val="7"/>
          <c:tx>
            <c:v>Rice</c:v>
          </c:tx>
          <c:spPr>
            <a:ln w="15875" cap="rnd">
              <a:solidFill>
                <a:srgbClr val="FF0066"/>
              </a:solidFill>
              <a:prstDash val="solid"/>
              <a:round/>
            </a:ln>
            <a:effectLst/>
          </c:spPr>
          <c:marker>
            <c:symbol val="triangle"/>
            <c:size val="5"/>
            <c:spPr>
              <a:solidFill>
                <a:srgbClr val="FF0066"/>
              </a:solidFill>
              <a:ln w="6350">
                <a:noFill/>
              </a:ln>
              <a:effectLst/>
            </c:spPr>
          </c:marker>
          <c:val>
            <c:numRef>
              <c:f>('Sea water'!$B$34,'Sea water'!$D$34,'Sea water'!$F$34,'Sea water'!$H$34)</c:f>
              <c:numCache>
                <c:formatCode>0.0</c:formatCode>
                <c:ptCount val="4"/>
                <c:pt idx="0">
                  <c:v>13.864320736289338</c:v>
                </c:pt>
                <c:pt idx="1">
                  <c:v>15.090106914565892</c:v>
                </c:pt>
                <c:pt idx="2">
                  <c:v>8.5575034664816219</c:v>
                </c:pt>
                <c:pt idx="3">
                  <c:v>5.6300569577194182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F64-418D-8FFF-9CA9B2C9A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5204048"/>
        <c:axId val="1415087392"/>
      </c:lineChart>
      <c:catAx>
        <c:axId val="15852040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badi" panose="020B0604020104020204" pitchFamily="34" charset="0"/>
                    <a:ea typeface="+mn-ea"/>
                    <a:cs typeface="+mn-cs"/>
                  </a:defRPr>
                </a:pPr>
                <a:r>
                  <a:rPr lang="en-GB">
                    <a:latin typeface="Abadi" panose="020B0604020104020204" pitchFamily="34" charset="0"/>
                  </a:rPr>
                  <a:t>Collection time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badi" panose="020B0604020104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badi" panose="020B0604020104020204" pitchFamily="34" charset="0"/>
                <a:ea typeface="+mn-ea"/>
                <a:cs typeface="+mn-cs"/>
              </a:defRPr>
            </a:pPr>
            <a:endParaRPr lang="en-US"/>
          </a:p>
        </c:txPr>
        <c:crossAx val="1415087392"/>
        <c:crosses val="autoZero"/>
        <c:auto val="1"/>
        <c:lblAlgn val="ctr"/>
        <c:lblOffset val="100"/>
        <c:noMultiLvlLbl val="0"/>
      </c:catAx>
      <c:valAx>
        <c:axId val="1415087392"/>
        <c:scaling>
          <c:orientation val="minMax"/>
          <c:max val="7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badi" panose="020B0604020104020204" pitchFamily="34" charset="0"/>
                    <a:ea typeface="+mn-ea"/>
                    <a:cs typeface="+mn-cs"/>
                  </a:defRPr>
                </a:pPr>
                <a:r>
                  <a:rPr lang="en-GB">
                    <a:latin typeface="Abadi" panose="020B0604020104020204" pitchFamily="34" charset="0"/>
                  </a:rPr>
                  <a:t>Concentration</a:t>
                </a:r>
                <a:r>
                  <a:rPr lang="en-GB" baseline="0">
                    <a:latin typeface="Abadi" panose="020B0604020104020204" pitchFamily="34" charset="0"/>
                  </a:rPr>
                  <a:t> (mg/L)</a:t>
                </a:r>
                <a:endParaRPr lang="en-GB">
                  <a:latin typeface="Abadi" panose="020B0604020104020204" pitchFamily="34" charset="0"/>
                </a:endParaRPr>
              </a:p>
            </c:rich>
          </c:tx>
          <c:layout>
            <c:manualLayout>
              <c:xMode val="edge"/>
              <c:yMode val="edge"/>
              <c:x val="1.2715712988192553E-2"/>
              <c:y val="0.3212331574012388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badi" panose="020B0604020104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badi" panose="020B0604020104020204" pitchFamily="34" charset="0"/>
                <a:ea typeface="+mn-ea"/>
                <a:cs typeface="+mn-cs"/>
              </a:defRPr>
            </a:pPr>
            <a:endParaRPr lang="en-US"/>
          </a:p>
        </c:txPr>
        <c:crossAx val="1585204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Norit 830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'Isotherms Lingmur Sea wat'!$D$33:$D$35</c:f>
              <c:numCache>
                <c:formatCode>0.0</c:formatCode>
                <c:ptCount val="3"/>
                <c:pt idx="0">
                  <c:v>0.11989115782005066</c:v>
                </c:pt>
                <c:pt idx="1">
                  <c:v>9.9755513087800451E-2</c:v>
                </c:pt>
                <c:pt idx="2">
                  <c:v>0.10175429316894158</c:v>
                </c:pt>
              </c:numCache>
            </c:numRef>
          </c:xVal>
          <c:yVal>
            <c:numRef>
              <c:f>'Isotherms Lingmur Sea wat'!$E$33:$E$35</c:f>
              <c:numCache>
                <c:formatCode>0.00</c:formatCode>
                <c:ptCount val="3"/>
                <c:pt idx="0">
                  <c:v>-0.3920095621723278</c:v>
                </c:pt>
                <c:pt idx="1">
                  <c:v>-0.31146698324332694</c:v>
                </c:pt>
                <c:pt idx="2">
                  <c:v>-0.31818934618315886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083-4DC9-A9E2-CB2492951A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Ce (mg/L)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x/m (mg/g)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3.947158904756129E-2"/>
                  <c:y val="0.197693690281882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'Isotherms Lingmur Sea wat'!$D$36:$D$38</c:f>
              <c:numCache>
                <c:formatCode>0.0</c:formatCode>
                <c:ptCount val="3"/>
                <c:pt idx="0">
                  <c:v>0.20977907379277502</c:v>
                </c:pt>
                <c:pt idx="1">
                  <c:v>0.16839114114715084</c:v>
                </c:pt>
                <c:pt idx="2">
                  <c:v>0.18003182514906999</c:v>
                </c:pt>
              </c:numCache>
            </c:numRef>
          </c:xVal>
          <c:yVal>
            <c:numRef>
              <c:f>'Isotherms Lingmur Sea wat'!$E$36:$E$38</c:f>
              <c:numCache>
                <c:formatCode>0.00</c:formatCode>
                <c:ptCount val="3"/>
                <c:pt idx="0">
                  <c:v>-0.74412002580517345</c:v>
                </c:pt>
                <c:pt idx="1">
                  <c:v>-0.57906076628530478</c:v>
                </c:pt>
                <c:pt idx="2">
                  <c:v>-0.63257223148840502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2BD-4044-830B-86EA1303D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9586384"/>
        <c:axId val="1209568144"/>
      </c:scatterChart>
      <c:valAx>
        <c:axId val="120958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Ce (mg/L)</a:t>
                </a:r>
              </a:p>
            </c:rich>
          </c:tx>
          <c:layout>
            <c:manualLayout>
              <c:xMode val="edge"/>
              <c:yMode val="edge"/>
              <c:x val="0.46744614165038068"/>
              <c:y val="0.83239813827188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68144"/>
        <c:crosses val="autoZero"/>
        <c:crossBetween val="midCat"/>
      </c:valAx>
      <c:valAx>
        <c:axId val="12095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x/m (mg/g)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958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TNT Calibration SeaWater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intercept val="0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3.4161636045494312E-2"/>
                  <c:y val="-2.351189827033393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'Calibration SeaWater'!$B$3:$B$7</c:f>
              <c:numCache>
                <c:formatCode>General</c:formatCode>
                <c:ptCount val="5"/>
                <c:pt idx="0">
                  <c:v>25</c:v>
                </c:pt>
                <c:pt idx="1">
                  <c:v>12.5</c:v>
                </c:pt>
                <c:pt idx="2">
                  <c:v>5</c:v>
                </c:pt>
                <c:pt idx="3">
                  <c:v>2.5</c:v>
                </c:pt>
                <c:pt idx="4">
                  <c:v>0.5</c:v>
                </c:pt>
              </c:numCache>
            </c:numRef>
          </c:xVal>
          <c:yVal>
            <c:numRef>
              <c:f>'Calibration SeaWater'!$C$3:$C$7</c:f>
              <c:numCache>
                <c:formatCode>General</c:formatCode>
                <c:ptCount val="5"/>
                <c:pt idx="0">
                  <c:v>508.2</c:v>
                </c:pt>
                <c:pt idx="1">
                  <c:v>247.5</c:v>
                </c:pt>
                <c:pt idx="2">
                  <c:v>99.5</c:v>
                </c:pt>
                <c:pt idx="3">
                  <c:v>50.1</c:v>
                </c:pt>
                <c:pt idx="4">
                  <c:v>9.8000000000000007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435-4C9D-B8B1-DF23FA5ACE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2741007"/>
        <c:axId val="1069703903"/>
      </c:scatterChart>
      <c:valAx>
        <c:axId val="3927410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9703903"/>
        <c:crosses val="autoZero"/>
        <c:crossBetween val="midCat"/>
      </c:valAx>
      <c:valAx>
        <c:axId val="1069703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274100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badi" panose="020B0604020104020204" pitchFamily="34" charset="0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badi" panose="020B0604020104020204" pitchFamily="34" charset="0"/>
              </a:rPr>
              <a:t>Sea water with AC</a:t>
            </a:r>
          </a:p>
        </c:rich>
      </c:tx>
      <c:layout>
        <c:manualLayout>
          <c:xMode val="edge"/>
          <c:yMode val="edge"/>
          <c:x val="8.72773332863961E-2"/>
          <c:y val="2.73678938832541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badi" panose="020B0604020104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1"/>
          <c:order val="0"/>
          <c:tx>
            <c:v>Norit 1240</c:v>
          </c:tx>
          <c:spPr>
            <a:solidFill>
              <a:schemeClr val="bg1">
                <a:lumMod val="85000"/>
              </a:schemeClr>
            </a:solidFill>
            <a:ln w="6350">
              <a:solidFill>
                <a:schemeClr val="tx1"/>
              </a:solidFill>
              <a:prstDash val="solid"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5631-4721-B4B4-FF6B4879C149}"/>
              </c:ext>
            </c:extLst>
          </c:dPt>
          <c:errBars>
            <c:errBarType val="both"/>
            <c:errValType val="cust"/>
            <c:noEndCap val="0"/>
            <c:plus>
              <c:numRef>
                <c:f>('Sea water'!$C$35,'Sea water'!$E$35,'Sea water'!$G$35,'Sea water'!$I$35)</c:f>
                <c:numCache>
                  <c:formatCode>General</c:formatCode>
                  <c:ptCount val="4"/>
                  <c:pt idx="0">
                    <c:v>0.46421065005351514</c:v>
                  </c:pt>
                  <c:pt idx="1">
                    <c:v>0.40884244839239359</c:v>
                  </c:pt>
                  <c:pt idx="2">
                    <c:v>1.6632193394743102</c:v>
                  </c:pt>
                  <c:pt idx="3">
                    <c:v>1.0868361505223338</c:v>
                  </c:pt>
                </c:numCache>
              </c:numRef>
            </c:plus>
            <c:minus>
              <c:numRef>
                <c:f>('Sea water'!$C$35,'Sea water'!$E$35,'Sea water'!$G$35,'Sea water'!$I$35)</c:f>
                <c:numCache>
                  <c:formatCode>General</c:formatCode>
                  <c:ptCount val="4"/>
                  <c:pt idx="0">
                    <c:v>0.46421065005351514</c:v>
                  </c:pt>
                  <c:pt idx="1">
                    <c:v>0.40884244839239359</c:v>
                  </c:pt>
                  <c:pt idx="2">
                    <c:v>1.6632193394743102</c:v>
                  </c:pt>
                  <c:pt idx="3">
                    <c:v>1.0868361505223338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Lit>
              <c:formatCode>General</c:formatCode>
              <c:ptCount val="4"/>
              <c:pt idx="0">
                <c:v>15</c:v>
              </c:pt>
              <c:pt idx="1">
                <c:v>45</c:v>
              </c:pt>
              <c:pt idx="2">
                <c:v>60</c:v>
              </c:pt>
              <c:pt idx="3">
                <c:v>120</c:v>
              </c:pt>
            </c:numLit>
          </c:cat>
          <c:val>
            <c:numRef>
              <c:f>('Sea water'!$B$35,'Sea water'!$D$35,'Sea water'!$F$35,'Sea water'!$H$35)</c:f>
              <c:numCache>
                <c:formatCode>0.0</c:formatCode>
                <c:ptCount val="4"/>
                <c:pt idx="0">
                  <c:v>15.095029750623226</c:v>
                </c:pt>
                <c:pt idx="1">
                  <c:v>12.128200553402337</c:v>
                </c:pt>
                <c:pt idx="2">
                  <c:v>6.7360541252674713</c:v>
                </c:pt>
                <c:pt idx="3">
                  <c:v>4.5864157135642838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631-4721-B4B4-FF6B4879C149}"/>
            </c:ext>
          </c:extLst>
        </c:ser>
        <c:ser>
          <c:idx val="12"/>
          <c:order val="1"/>
          <c:tx>
            <c:v>Norit 830</c:v>
          </c:tx>
          <c:spPr>
            <a:solidFill>
              <a:schemeClr val="bg2">
                <a:lumMod val="75000"/>
              </a:schemeClr>
            </a:solidFill>
            <a:ln w="6350">
              <a:solidFill>
                <a:schemeClr val="tx1"/>
              </a:solidFill>
              <a:prstDash val="solid"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5631-4721-B4B4-FF6B4879C149}"/>
              </c:ext>
            </c:extLst>
          </c:dPt>
          <c:errBars>
            <c:errBarType val="both"/>
            <c:errValType val="cust"/>
            <c:noEndCap val="0"/>
            <c:plus>
              <c:numRef>
                <c:f>('Sea water'!$C$36,'Sea water'!$E$36,'Sea water'!$G$36,'Sea water'!$I$36)</c:f>
                <c:numCache>
                  <c:formatCode>General</c:formatCode>
                  <c:ptCount val="4"/>
                  <c:pt idx="0">
                    <c:v>1.7339660751145032</c:v>
                  </c:pt>
                  <c:pt idx="1">
                    <c:v>5.3163370219529629</c:v>
                  </c:pt>
                  <c:pt idx="2">
                    <c:v>4.6558405734460742</c:v>
                  </c:pt>
                  <c:pt idx="3">
                    <c:v>0.92046942343839167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Lit>
              <c:formatCode>General</c:formatCode>
              <c:ptCount val="4"/>
              <c:pt idx="0">
                <c:v>15</c:v>
              </c:pt>
              <c:pt idx="1">
                <c:v>45</c:v>
              </c:pt>
              <c:pt idx="2">
                <c:v>60</c:v>
              </c:pt>
              <c:pt idx="3">
                <c:v>120</c:v>
              </c:pt>
            </c:numLit>
          </c:cat>
          <c:val>
            <c:numRef>
              <c:f>('Sea water'!$B$36,'Sea water'!$D$36,'Sea water'!$F$36,'Sea water'!$H$36)</c:f>
              <c:numCache>
                <c:formatCode>0.0</c:formatCode>
                <c:ptCount val="4"/>
                <c:pt idx="0">
                  <c:v>21.350313434144258</c:v>
                </c:pt>
                <c:pt idx="1">
                  <c:v>13.534490720447858</c:v>
                </c:pt>
                <c:pt idx="2">
                  <c:v>12.046153285780079</c:v>
                </c:pt>
                <c:pt idx="3">
                  <c:v>9.397667486933555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631-4721-B4B4-FF6B4879C149}"/>
            </c:ext>
          </c:extLst>
        </c:ser>
        <c:ser>
          <c:idx val="13"/>
          <c:order val="2"/>
          <c:tx>
            <c:v>Generic AC</c:v>
          </c:tx>
          <c:spPr>
            <a:solidFill>
              <a:schemeClr val="bg2">
                <a:lumMod val="50000"/>
              </a:schemeClr>
            </a:solidFill>
            <a:ln w="6350">
              <a:solidFill>
                <a:schemeClr val="tx1"/>
              </a:solidFill>
              <a:prstDash val="solid"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5631-4721-B4B4-FF6B4879C149}"/>
              </c:ext>
            </c:extLst>
          </c:dPt>
          <c:errBars>
            <c:errBarType val="both"/>
            <c:errValType val="cust"/>
            <c:noEndCap val="0"/>
            <c:plus>
              <c:numRef>
                <c:f>('Sea water'!$C$37,'Sea water'!$E$37,'Sea water'!$G$37,'Sea water'!$I$37)</c:f>
                <c:numCache>
                  <c:formatCode>General</c:formatCode>
                  <c:ptCount val="4"/>
                  <c:pt idx="0">
                    <c:v>5.1447664416447765</c:v>
                  </c:pt>
                  <c:pt idx="1">
                    <c:v>5.9524118201947447</c:v>
                  </c:pt>
                  <c:pt idx="2">
                    <c:v>1.6990655952736</c:v>
                  </c:pt>
                  <c:pt idx="3">
                    <c:v>0.59729509203874076</c:v>
                  </c:pt>
                </c:numCache>
              </c:numRef>
            </c:plus>
            <c:minus>
              <c:numRef>
                <c:f>('Sea water'!$C$37,'Sea water'!$E$37,'Sea water'!$G$37,'Sea water'!$I$37)</c:f>
                <c:numCache>
                  <c:formatCode>General</c:formatCode>
                  <c:ptCount val="4"/>
                  <c:pt idx="0">
                    <c:v>5.1447664416447765</c:v>
                  </c:pt>
                  <c:pt idx="1">
                    <c:v>5.9524118201947447</c:v>
                  </c:pt>
                  <c:pt idx="2">
                    <c:v>1.6990655952736</c:v>
                  </c:pt>
                  <c:pt idx="3">
                    <c:v>0.59729509203874076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Lit>
              <c:formatCode>General</c:formatCode>
              <c:ptCount val="4"/>
              <c:pt idx="0">
                <c:v>15</c:v>
              </c:pt>
              <c:pt idx="1">
                <c:v>45</c:v>
              </c:pt>
              <c:pt idx="2">
                <c:v>60</c:v>
              </c:pt>
              <c:pt idx="3">
                <c:v>120</c:v>
              </c:pt>
            </c:numLit>
          </c:cat>
          <c:val>
            <c:numRef>
              <c:f>('Sea water'!$B$37,'Sea water'!$D$37,'Sea water'!$F$37,'Sea water'!$H$37)</c:f>
              <c:numCache>
                <c:formatCode>0.0</c:formatCode>
                <c:ptCount val="4"/>
                <c:pt idx="0">
                  <c:v>19.998174463729427</c:v>
                </c:pt>
                <c:pt idx="1">
                  <c:v>13.764223069790186</c:v>
                </c:pt>
                <c:pt idx="2">
                  <c:v>10.237831507385488</c:v>
                </c:pt>
                <c:pt idx="3">
                  <c:v>5.4200159526064349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631-4721-B4B4-FF6B4879C1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85204048"/>
        <c:axId val="1415087392"/>
      </c:barChart>
      <c:lineChart>
        <c:grouping val="standard"/>
        <c:varyColors val="0"/>
        <c:ser>
          <c:idx val="14"/>
          <c:order val="3"/>
          <c:tx>
            <c:v>Control</c:v>
          </c:tx>
          <c:spPr>
            <a:ln w="6350" cap="rnd">
              <a:solidFill>
                <a:schemeClr val="bg2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5631-4721-B4B4-FF6B4879C149}"/>
              </c:ext>
            </c:extLst>
          </c:dPt>
          <c:errBars>
            <c:errDir val="y"/>
            <c:errBarType val="both"/>
            <c:errValType val="cust"/>
            <c:noEndCap val="0"/>
            <c:plus>
              <c:numRef>
                <c:f>('Sea water'!$C$38,'Sea water'!$E$38,'Sea water'!$G$38,'Sea water'!$I$38)</c:f>
                <c:numCache>
                  <c:formatCode>General</c:formatCode>
                  <c:ptCount val="4"/>
                  <c:pt idx="0">
                    <c:v>0.78871966244219127</c:v>
                  </c:pt>
                  <c:pt idx="1">
                    <c:v>1.5395495865139903</c:v>
                  </c:pt>
                  <c:pt idx="2">
                    <c:v>0.8267042948458394</c:v>
                  </c:pt>
                  <c:pt idx="3">
                    <c:v>0.9080108498957723</c:v>
                  </c:pt>
                </c:numCache>
              </c:numRef>
            </c:plus>
            <c:minus>
              <c:numRef>
                <c:f>('Sea water'!$C$38,'Sea water'!$E$38,'Sea water'!$G$38,'Sea water'!$I$38)</c:f>
                <c:numCache>
                  <c:formatCode>General</c:formatCode>
                  <c:ptCount val="4"/>
                  <c:pt idx="0">
                    <c:v>0.78871966244219127</c:v>
                  </c:pt>
                  <c:pt idx="1">
                    <c:v>1.5395495865139903</c:v>
                  </c:pt>
                  <c:pt idx="2">
                    <c:v>0.8267042948458394</c:v>
                  </c:pt>
                  <c:pt idx="3">
                    <c:v>0.9080108498957723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bg2"/>
                </a:solidFill>
                <a:round/>
              </a:ln>
              <a:effectLst/>
            </c:spPr>
          </c:errBars>
          <c:cat>
            <c:numLit>
              <c:formatCode>General</c:formatCode>
              <c:ptCount val="4"/>
              <c:pt idx="0">
                <c:v>15</c:v>
              </c:pt>
              <c:pt idx="1">
                <c:v>45</c:v>
              </c:pt>
              <c:pt idx="2">
                <c:v>60</c:v>
              </c:pt>
              <c:pt idx="3">
                <c:v>120</c:v>
              </c:pt>
            </c:numLit>
          </c:cat>
          <c:val>
            <c:numRef>
              <c:f>('Sea water'!$B$38,'Sea water'!$D$38,'Sea water'!$F$38,'Sea water'!$H$38)</c:f>
              <c:numCache>
                <c:formatCode>0.0</c:formatCode>
                <c:ptCount val="4"/>
                <c:pt idx="0">
                  <c:v>49.935581473739319</c:v>
                </c:pt>
                <c:pt idx="1">
                  <c:v>50.401609953833749</c:v>
                </c:pt>
                <c:pt idx="2">
                  <c:v>50.887329778157529</c:v>
                </c:pt>
                <c:pt idx="3">
                  <c:v>46.3681662775235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631-4721-B4B4-FF6B4879C1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5204048"/>
        <c:axId val="1415087392"/>
      </c:lineChart>
      <c:catAx>
        <c:axId val="15852040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badi" panose="020B0604020104020204" pitchFamily="34" charset="0"/>
                    <a:ea typeface="+mn-ea"/>
                    <a:cs typeface="+mn-cs"/>
                  </a:defRPr>
                </a:pPr>
                <a:r>
                  <a:rPr lang="en-GB">
                    <a:latin typeface="Abadi" panose="020B0604020104020204" pitchFamily="34" charset="0"/>
                  </a:rPr>
                  <a:t>Collection time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badi" panose="020B0604020104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badi" panose="020B0604020104020204" pitchFamily="34" charset="0"/>
                <a:ea typeface="+mn-ea"/>
                <a:cs typeface="+mn-cs"/>
              </a:defRPr>
            </a:pPr>
            <a:endParaRPr lang="en-US"/>
          </a:p>
        </c:txPr>
        <c:crossAx val="1415087392"/>
        <c:crosses val="autoZero"/>
        <c:auto val="1"/>
        <c:lblAlgn val="ctr"/>
        <c:lblOffset val="100"/>
        <c:noMultiLvlLbl val="0"/>
      </c:catAx>
      <c:valAx>
        <c:axId val="1415087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badi" panose="020B0604020104020204" pitchFamily="34" charset="0"/>
                    <a:ea typeface="+mn-ea"/>
                    <a:cs typeface="+mn-cs"/>
                  </a:defRPr>
                </a:pPr>
                <a:r>
                  <a:rPr lang="en-GB">
                    <a:latin typeface="Abadi" panose="020B0604020104020204" pitchFamily="34" charset="0"/>
                  </a:rPr>
                  <a:t>Concentration</a:t>
                </a:r>
                <a:r>
                  <a:rPr lang="en-GB" baseline="0">
                    <a:latin typeface="Abadi" panose="020B0604020104020204" pitchFamily="34" charset="0"/>
                  </a:rPr>
                  <a:t> (mg/L)</a:t>
                </a:r>
                <a:endParaRPr lang="en-GB">
                  <a:latin typeface="Abadi" panose="020B0604020104020204" pitchFamily="34" charset="0"/>
                </a:endParaRPr>
              </a:p>
            </c:rich>
          </c:tx>
          <c:layout>
            <c:manualLayout>
              <c:xMode val="edge"/>
              <c:yMode val="edge"/>
              <c:x val="1.2715712988192553E-2"/>
              <c:y val="0.3212331574012388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badi" panose="020B0604020104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badi" panose="020B0604020104020204" pitchFamily="34" charset="0"/>
                <a:ea typeface="+mn-ea"/>
                <a:cs typeface="+mn-cs"/>
              </a:defRPr>
            </a:pPr>
            <a:endParaRPr lang="en-US"/>
          </a:p>
        </c:txPr>
        <c:crossAx val="158520404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badi" panose="020B0604020104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badi" panose="020B0604020104020204" pitchFamily="34" charset="0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badi" panose="020B0604020104020204" pitchFamily="34" charset="0"/>
              </a:rPr>
              <a:t>Sea water with Biochar</a:t>
            </a:r>
          </a:p>
        </c:rich>
      </c:tx>
      <c:layout>
        <c:manualLayout>
          <c:xMode val="edge"/>
          <c:yMode val="edge"/>
          <c:x val="8.7277317370436716E-2"/>
          <c:y val="2.73678015162969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badi" panose="020B0604020104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8"/>
          <c:order val="0"/>
          <c:tx>
            <c:v>Wheat Ground</c:v>
          </c:tx>
          <c:spPr>
            <a:solidFill>
              <a:schemeClr val="tx1"/>
            </a:solidFill>
            <a:ln w="6350">
              <a:solidFill>
                <a:schemeClr val="tx1"/>
              </a:solidFill>
              <a:prstDash val="solid"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tx1"/>
              </a:solidFill>
              <a:ln w="6350" cap="rnd">
                <a:solidFill>
                  <a:schemeClr val="tx1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1C9E-4F64-BE6F-769811C8EE40}"/>
              </c:ext>
            </c:extLst>
          </c:dPt>
          <c:errBars>
            <c:errBarType val="both"/>
            <c:errValType val="cust"/>
            <c:noEndCap val="0"/>
            <c:plus>
              <c:numRef>
                <c:f>('Sea water'!$C$31,'Sea water'!$E$31,'Sea water'!$G$31,'Sea water'!$I$31)</c:f>
                <c:numCache>
                  <c:formatCode>General</c:formatCode>
                  <c:ptCount val="4"/>
                  <c:pt idx="0">
                    <c:v>6.7709334488047004</c:v>
                  </c:pt>
                  <c:pt idx="1">
                    <c:v>3.1874796421381566</c:v>
                  </c:pt>
                  <c:pt idx="2">
                    <c:v>4.7166378799260791</c:v>
                  </c:pt>
                  <c:pt idx="3">
                    <c:v>2.3108892216924044</c:v>
                  </c:pt>
                </c:numCache>
              </c:numRef>
            </c:plus>
            <c:minus>
              <c:numRef>
                <c:f>('Sea water'!$C$31,'Sea water'!$E$31,'Sea water'!$G$31,'Sea water'!$I$31)</c:f>
                <c:numCache>
                  <c:formatCode>General</c:formatCode>
                  <c:ptCount val="4"/>
                  <c:pt idx="0">
                    <c:v>6.7709334488047004</c:v>
                  </c:pt>
                  <c:pt idx="1">
                    <c:v>3.1874796421381566</c:v>
                  </c:pt>
                  <c:pt idx="2">
                    <c:v>4.7166378799260791</c:v>
                  </c:pt>
                  <c:pt idx="3">
                    <c:v>2.3108892216924044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bg2">
                    <a:lumMod val="75000"/>
                  </a:schemeClr>
                </a:solidFill>
                <a:round/>
              </a:ln>
              <a:effectLst/>
            </c:spPr>
          </c:errBars>
          <c:cat>
            <c:numLit>
              <c:formatCode>General</c:formatCode>
              <c:ptCount val="4"/>
              <c:pt idx="0">
                <c:v>15</c:v>
              </c:pt>
              <c:pt idx="1">
                <c:v>45</c:v>
              </c:pt>
              <c:pt idx="2">
                <c:v>60</c:v>
              </c:pt>
              <c:pt idx="3">
                <c:v>120</c:v>
              </c:pt>
            </c:numLit>
          </c:cat>
          <c:val>
            <c:numRef>
              <c:f>('Sea water'!$B$31,'Sea water'!$D$31,'Sea water'!$F$31,'Sea water'!$H$31)</c:f>
              <c:numCache>
                <c:formatCode>0.0</c:formatCode>
                <c:ptCount val="4"/>
                <c:pt idx="0">
                  <c:v>37.214973101584285</c:v>
                </c:pt>
                <c:pt idx="1">
                  <c:v>23.1750446660633</c:v>
                </c:pt>
                <c:pt idx="2">
                  <c:v>19.369692393742927</c:v>
                </c:pt>
                <c:pt idx="3">
                  <c:v>21.566918220667024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9E-4F64-BE6F-769811C8EE40}"/>
            </c:ext>
          </c:extLst>
        </c:ser>
        <c:ser>
          <c:idx val="9"/>
          <c:order val="1"/>
          <c:tx>
            <c:v>Wheat</c:v>
          </c:tx>
          <c:spPr>
            <a:pattFill prst="dkDnDiag">
              <a:fgClr>
                <a:schemeClr val="bg2">
                  <a:lumMod val="90000"/>
                </a:schemeClr>
              </a:fgClr>
              <a:bgClr>
                <a:schemeClr val="bg1"/>
              </a:bgClr>
            </a:pattFill>
            <a:ln w="6350">
              <a:solidFill>
                <a:schemeClr val="tx1"/>
              </a:solidFill>
              <a:prstDash val="solid"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1C9E-4F64-BE6F-769811C8EE40}"/>
              </c:ext>
            </c:extLst>
          </c:dPt>
          <c:errBars>
            <c:errBarType val="both"/>
            <c:errValType val="cust"/>
            <c:noEndCap val="0"/>
            <c:plus>
              <c:numRef>
                <c:f>('Sea water'!$C$32,'Sea water'!$E$32,'Sea water'!$G$32,'Sea water'!$I$32)</c:f>
                <c:numCache>
                  <c:formatCode>General</c:formatCode>
                  <c:ptCount val="4"/>
                  <c:pt idx="0">
                    <c:v>3.2855987875219559</c:v>
                  </c:pt>
                  <c:pt idx="1">
                    <c:v>0.2202292944060843</c:v>
                  </c:pt>
                  <c:pt idx="2">
                    <c:v>2.535090096657886</c:v>
                  </c:pt>
                  <c:pt idx="3">
                    <c:v>1.4714586727891383</c:v>
                  </c:pt>
                </c:numCache>
              </c:numRef>
            </c:plus>
            <c:minus>
              <c:numRef>
                <c:f>('Sea water'!$C$32,'Sea water'!$E$32,'Sea water'!$G$32,'Sea water'!$I$32)</c:f>
                <c:numCache>
                  <c:formatCode>General</c:formatCode>
                  <c:ptCount val="4"/>
                  <c:pt idx="0">
                    <c:v>3.2855987875219559</c:v>
                  </c:pt>
                  <c:pt idx="1">
                    <c:v>0.2202292944060843</c:v>
                  </c:pt>
                  <c:pt idx="2">
                    <c:v>2.535090096657886</c:v>
                  </c:pt>
                  <c:pt idx="3">
                    <c:v>1.4714586727891383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bg2">
                    <a:lumMod val="75000"/>
                  </a:schemeClr>
                </a:solidFill>
                <a:round/>
              </a:ln>
              <a:effectLst/>
            </c:spPr>
          </c:errBars>
          <c:cat>
            <c:numLit>
              <c:formatCode>General</c:formatCode>
              <c:ptCount val="4"/>
              <c:pt idx="0">
                <c:v>15</c:v>
              </c:pt>
              <c:pt idx="1">
                <c:v>45</c:v>
              </c:pt>
              <c:pt idx="2">
                <c:v>60</c:v>
              </c:pt>
              <c:pt idx="3">
                <c:v>120</c:v>
              </c:pt>
            </c:numLit>
          </c:cat>
          <c:val>
            <c:numRef>
              <c:f>('Sea water'!$B$32,'Sea water'!$D$32,'Sea water'!$F$32,'Sea water'!$H$32)</c:f>
              <c:numCache>
                <c:formatCode>0.0</c:formatCode>
                <c:ptCount val="4"/>
                <c:pt idx="0">
                  <c:v>31.642322684680437</c:v>
                </c:pt>
                <c:pt idx="1">
                  <c:v>24.809426237098695</c:v>
                </c:pt>
                <c:pt idx="2">
                  <c:v>24.313860740660257</c:v>
                </c:pt>
                <c:pt idx="3">
                  <c:v>22.479283836626546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C9E-4F64-BE6F-769811C8EE40}"/>
            </c:ext>
          </c:extLst>
        </c:ser>
        <c:ser>
          <c:idx val="10"/>
          <c:order val="2"/>
          <c:tx>
            <c:v>Rice Ground</c:v>
          </c:tx>
          <c:spPr>
            <a:pattFill prst="pct75">
              <a:fgClr>
                <a:schemeClr val="bg2">
                  <a:lumMod val="90000"/>
                </a:schemeClr>
              </a:fgClr>
              <a:bgClr>
                <a:schemeClr val="bg1"/>
              </a:bgClr>
            </a:pattFill>
            <a:ln w="6350">
              <a:solidFill>
                <a:schemeClr val="tx1"/>
              </a:solidFill>
              <a:prstDash val="solid"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1C9E-4F64-BE6F-769811C8EE40}"/>
              </c:ext>
            </c:extLst>
          </c:dPt>
          <c:errBars>
            <c:errBarType val="both"/>
            <c:errValType val="cust"/>
            <c:noEndCap val="0"/>
            <c:plus>
              <c:numRef>
                <c:f>('Sea water'!$C$33,'Sea water'!$E$33,'Sea water'!$G$33,'Sea water'!$I$33)</c:f>
                <c:numCache>
                  <c:formatCode>General</c:formatCode>
                  <c:ptCount val="4"/>
                  <c:pt idx="0">
                    <c:v>1.8563204725429077</c:v>
                  </c:pt>
                  <c:pt idx="1">
                    <c:v>5.6194692901335479</c:v>
                  </c:pt>
                  <c:pt idx="2">
                    <c:v>3.5780959217228068</c:v>
                  </c:pt>
                  <c:pt idx="3">
                    <c:v>0.23352791377393373</c:v>
                  </c:pt>
                </c:numCache>
              </c:numRef>
            </c:plus>
            <c:minus>
              <c:numRef>
                <c:f>('Sea water'!$C$33,'Sea water'!$E$33,'Sea water'!$G$33,'Sea water'!$I$33)</c:f>
                <c:numCache>
                  <c:formatCode>General</c:formatCode>
                  <c:ptCount val="4"/>
                  <c:pt idx="0">
                    <c:v>1.8563204725429077</c:v>
                  </c:pt>
                  <c:pt idx="1">
                    <c:v>5.6194692901335479</c:v>
                  </c:pt>
                  <c:pt idx="2">
                    <c:v>3.5780959217228068</c:v>
                  </c:pt>
                  <c:pt idx="3">
                    <c:v>0.23352791377393373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bg2">
                    <a:lumMod val="75000"/>
                  </a:schemeClr>
                </a:solidFill>
                <a:round/>
              </a:ln>
              <a:effectLst/>
            </c:spPr>
          </c:errBars>
          <c:cat>
            <c:numLit>
              <c:formatCode>General</c:formatCode>
              <c:ptCount val="4"/>
              <c:pt idx="0">
                <c:v>15</c:v>
              </c:pt>
              <c:pt idx="1">
                <c:v>45</c:v>
              </c:pt>
              <c:pt idx="2">
                <c:v>60</c:v>
              </c:pt>
              <c:pt idx="3">
                <c:v>120</c:v>
              </c:pt>
            </c:numLit>
          </c:cat>
          <c:val>
            <c:numRef>
              <c:f>('Sea water'!$B$33,'Sea water'!$D$33,'Sea water'!$F$33,'Sea water'!$H$33)</c:f>
              <c:numCache>
                <c:formatCode>0.0</c:formatCode>
                <c:ptCount val="4"/>
                <c:pt idx="0">
                  <c:v>15.813763814994218</c:v>
                </c:pt>
                <c:pt idx="1">
                  <c:v>9.3566438531224261</c:v>
                </c:pt>
                <c:pt idx="2">
                  <c:v>5.8450207988897374</c:v>
                </c:pt>
                <c:pt idx="3">
                  <c:v>2.1069472860196137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C9E-4F64-BE6F-769811C8EE40}"/>
            </c:ext>
          </c:extLst>
        </c:ser>
        <c:ser>
          <c:idx val="15"/>
          <c:order val="4"/>
          <c:tx>
            <c:v>Rice</c:v>
          </c:tx>
          <c:spPr>
            <a:pattFill prst="dkVert">
              <a:fgClr>
                <a:schemeClr val="bg2">
                  <a:lumMod val="90000"/>
                </a:schemeClr>
              </a:fgClr>
              <a:bgClr>
                <a:schemeClr val="bg1"/>
              </a:bgClr>
            </a:pattFill>
            <a:ln w="6350">
              <a:solidFill>
                <a:schemeClr val="tx1"/>
              </a:solidFill>
              <a:prstDash val="solid"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1C9E-4F64-BE6F-769811C8EE40}"/>
              </c:ext>
            </c:extLst>
          </c:dPt>
          <c:errBars>
            <c:errBarType val="both"/>
            <c:errValType val="cust"/>
            <c:noEndCap val="0"/>
            <c:plus>
              <c:numRef>
                <c:f>('Sea water'!$C$34,'Sea water'!$E$34,'Sea water'!$G$34,'Sea water'!$I$34)</c:f>
                <c:numCache>
                  <c:formatCode>General</c:formatCode>
                  <c:ptCount val="4"/>
                  <c:pt idx="0">
                    <c:v>5.8566109750761814</c:v>
                  </c:pt>
                  <c:pt idx="1">
                    <c:v>6.2822968647398536</c:v>
                  </c:pt>
                  <c:pt idx="2">
                    <c:v>0.86356142600528651</c:v>
                  </c:pt>
                  <c:pt idx="3">
                    <c:v>1.2461810493830305</c:v>
                  </c:pt>
                </c:numCache>
              </c:numRef>
            </c:plus>
            <c:minus>
              <c:numRef>
                <c:f>('Sea water'!$C$34,'Sea water'!$E$34,'Sea water'!$G$34,'Sea water'!$I$34)</c:f>
                <c:numCache>
                  <c:formatCode>General</c:formatCode>
                  <c:ptCount val="4"/>
                  <c:pt idx="0">
                    <c:v>5.8566109750761814</c:v>
                  </c:pt>
                  <c:pt idx="1">
                    <c:v>6.2822968647398536</c:v>
                  </c:pt>
                  <c:pt idx="2">
                    <c:v>0.86356142600528651</c:v>
                  </c:pt>
                  <c:pt idx="3">
                    <c:v>1.2461810493830305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bg2">
                    <a:lumMod val="75000"/>
                  </a:schemeClr>
                </a:solidFill>
                <a:round/>
              </a:ln>
              <a:effectLst/>
            </c:spPr>
          </c:errBars>
          <c:cat>
            <c:numLit>
              <c:formatCode>General</c:formatCode>
              <c:ptCount val="4"/>
              <c:pt idx="0">
                <c:v>15</c:v>
              </c:pt>
              <c:pt idx="1">
                <c:v>45</c:v>
              </c:pt>
              <c:pt idx="2">
                <c:v>60</c:v>
              </c:pt>
              <c:pt idx="3">
                <c:v>120</c:v>
              </c:pt>
            </c:numLit>
          </c:cat>
          <c:val>
            <c:numRef>
              <c:f>('Sea water'!$B$34,'Sea water'!$D$34,'Sea water'!$F$34,'Sea water'!$H$34)</c:f>
              <c:numCache>
                <c:formatCode>0.0</c:formatCode>
                <c:ptCount val="4"/>
                <c:pt idx="0">
                  <c:v>13.864320736289338</c:v>
                </c:pt>
                <c:pt idx="1">
                  <c:v>15.090106914565892</c:v>
                </c:pt>
                <c:pt idx="2">
                  <c:v>8.5575034664816219</c:v>
                </c:pt>
                <c:pt idx="3">
                  <c:v>5.6300569577194182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1C9E-4F64-BE6F-769811C8EE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85204048"/>
        <c:axId val="1415087392"/>
      </c:barChart>
      <c:lineChart>
        <c:grouping val="standard"/>
        <c:varyColors val="0"/>
        <c:ser>
          <c:idx val="14"/>
          <c:order val="3"/>
          <c:tx>
            <c:v>Control</c:v>
          </c:tx>
          <c:spPr>
            <a:ln w="6350" cap="rnd">
              <a:solidFill>
                <a:schemeClr val="bg2">
                  <a:lumMod val="75000"/>
                </a:schemeClr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1C9E-4F64-BE6F-769811C8EE40}"/>
              </c:ext>
            </c:extLst>
          </c:dPt>
          <c:errBars>
            <c:errDir val="y"/>
            <c:errBarType val="both"/>
            <c:errValType val="cust"/>
            <c:noEndCap val="0"/>
            <c:plus>
              <c:numRef>
                <c:f>('Sea water'!$C$38,'Sea water'!$E$38,'Sea water'!$G$38,'Sea water'!$I$38)</c:f>
                <c:numCache>
                  <c:formatCode>General</c:formatCode>
                  <c:ptCount val="4"/>
                  <c:pt idx="0">
                    <c:v>0.78871966244219127</c:v>
                  </c:pt>
                  <c:pt idx="1">
                    <c:v>1.5395495865139903</c:v>
                  </c:pt>
                  <c:pt idx="2">
                    <c:v>0.8267042948458394</c:v>
                  </c:pt>
                  <c:pt idx="3">
                    <c:v>0.9080108498957723</c:v>
                  </c:pt>
                </c:numCache>
              </c:numRef>
            </c:plus>
            <c:minus>
              <c:numRef>
                <c:f>('Sea water'!$C$38,'Sea water'!$E$38,'Sea water'!$G$38,'Sea water'!$I$38)</c:f>
                <c:numCache>
                  <c:formatCode>General</c:formatCode>
                  <c:ptCount val="4"/>
                  <c:pt idx="0">
                    <c:v>0.78871966244219127</c:v>
                  </c:pt>
                  <c:pt idx="1">
                    <c:v>1.5395495865139903</c:v>
                  </c:pt>
                  <c:pt idx="2">
                    <c:v>0.8267042948458394</c:v>
                  </c:pt>
                  <c:pt idx="3">
                    <c:v>0.9080108498957723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bg2"/>
                </a:solidFill>
                <a:round/>
              </a:ln>
              <a:effectLst/>
            </c:spPr>
          </c:errBars>
          <c:cat>
            <c:numLit>
              <c:formatCode>General</c:formatCode>
              <c:ptCount val="4"/>
              <c:pt idx="0">
                <c:v>15</c:v>
              </c:pt>
              <c:pt idx="1">
                <c:v>45</c:v>
              </c:pt>
              <c:pt idx="2">
                <c:v>60</c:v>
              </c:pt>
              <c:pt idx="3">
                <c:v>120</c:v>
              </c:pt>
            </c:numLit>
          </c:cat>
          <c:val>
            <c:numRef>
              <c:f>('Sea water'!$B$38,'Sea water'!$D$38,'Sea water'!$F$38,'Sea water'!$H$38)</c:f>
              <c:numCache>
                <c:formatCode>0.0</c:formatCode>
                <c:ptCount val="4"/>
                <c:pt idx="0">
                  <c:v>49.935581473739319</c:v>
                </c:pt>
                <c:pt idx="1">
                  <c:v>50.401609953833749</c:v>
                </c:pt>
                <c:pt idx="2">
                  <c:v>50.887329778157529</c:v>
                </c:pt>
                <c:pt idx="3">
                  <c:v>46.3681662775235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C9E-4F64-BE6F-769811C8EE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5204048"/>
        <c:axId val="1415087392"/>
      </c:lineChart>
      <c:catAx>
        <c:axId val="15852040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badi" panose="020B0604020104020204" pitchFamily="34" charset="0"/>
                    <a:ea typeface="+mn-ea"/>
                    <a:cs typeface="+mn-cs"/>
                  </a:defRPr>
                </a:pPr>
                <a:r>
                  <a:rPr lang="en-GB">
                    <a:latin typeface="Abadi" panose="020B0604020104020204" pitchFamily="34" charset="0"/>
                  </a:rPr>
                  <a:t>Collection time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badi" panose="020B0604020104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badi" panose="020B0604020104020204" pitchFamily="34" charset="0"/>
                <a:ea typeface="+mn-ea"/>
                <a:cs typeface="+mn-cs"/>
              </a:defRPr>
            </a:pPr>
            <a:endParaRPr lang="en-US"/>
          </a:p>
        </c:txPr>
        <c:crossAx val="1415087392"/>
        <c:crosses val="autoZero"/>
        <c:auto val="1"/>
        <c:lblAlgn val="ctr"/>
        <c:lblOffset val="100"/>
        <c:noMultiLvlLbl val="0"/>
      </c:catAx>
      <c:valAx>
        <c:axId val="1415087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badi" panose="020B0604020104020204" pitchFamily="34" charset="0"/>
                    <a:ea typeface="+mn-ea"/>
                    <a:cs typeface="+mn-cs"/>
                  </a:defRPr>
                </a:pPr>
                <a:r>
                  <a:rPr lang="en-GB">
                    <a:latin typeface="Abadi" panose="020B0604020104020204" pitchFamily="34" charset="0"/>
                  </a:rPr>
                  <a:t>Concentration</a:t>
                </a:r>
                <a:r>
                  <a:rPr lang="en-GB" baseline="0">
                    <a:latin typeface="Abadi" panose="020B0604020104020204" pitchFamily="34" charset="0"/>
                  </a:rPr>
                  <a:t> (mg/L)</a:t>
                </a:r>
                <a:endParaRPr lang="en-GB">
                  <a:latin typeface="Abadi" panose="020B0604020104020204" pitchFamily="34" charset="0"/>
                </a:endParaRPr>
              </a:p>
            </c:rich>
          </c:tx>
          <c:layout>
            <c:manualLayout>
              <c:xMode val="edge"/>
              <c:yMode val="edge"/>
              <c:x val="1.2715712988192553E-2"/>
              <c:y val="0.3212331574012388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badi" panose="020B0604020104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badi" panose="020B0604020104020204" pitchFamily="34" charset="0"/>
                <a:ea typeface="+mn-ea"/>
                <a:cs typeface="+mn-cs"/>
              </a:defRPr>
            </a:pPr>
            <a:endParaRPr lang="en-US"/>
          </a:p>
        </c:txPr>
        <c:crossAx val="158520404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badi" panose="020B0604020104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badi" panose="020B0604020104020204" pitchFamily="34" charset="0"/>
                <a:ea typeface="+mn-ea"/>
                <a:cs typeface="+mn-cs"/>
              </a:defRPr>
            </a:pPr>
            <a:r>
              <a:rPr lang="en-US">
                <a:latin typeface="Abadi" panose="020B0604020104020204" pitchFamily="34" charset="0"/>
              </a:rPr>
              <a:t>TNT Concentration overtime in seawater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badi" panose="020B0604020104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Wheat Crushed</c:v>
          </c:tx>
          <c:spPr>
            <a:ln w="12700" cap="rnd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diamond"/>
            <c:size val="6"/>
            <c:spPr>
              <a:solidFill>
                <a:schemeClr val="tx2"/>
              </a:solidFill>
              <a:ln w="9525">
                <a:noFill/>
              </a:ln>
              <a:effectLst/>
            </c:spPr>
          </c:marker>
          <c:cat>
            <c:numLit>
              <c:formatCode>General</c:formatCode>
              <c:ptCount val="4"/>
              <c:pt idx="0">
                <c:v>15</c:v>
              </c:pt>
              <c:pt idx="1">
                <c:v>45</c:v>
              </c:pt>
              <c:pt idx="2">
                <c:v>60</c:v>
              </c:pt>
              <c:pt idx="3">
                <c:v>120</c:v>
              </c:pt>
            </c:numLit>
          </c:cat>
          <c:val>
            <c:numRef>
              <c:f>('Sea water'!$B$31,'Sea water'!$D$31,'Sea water'!$F$31,'Sea water'!$H$31)</c:f>
              <c:numCache>
                <c:formatCode>0.0</c:formatCode>
                <c:ptCount val="4"/>
                <c:pt idx="0">
                  <c:v>37.214973101584285</c:v>
                </c:pt>
                <c:pt idx="1">
                  <c:v>23.1750446660633</c:v>
                </c:pt>
                <c:pt idx="2">
                  <c:v>19.369692393742927</c:v>
                </c:pt>
                <c:pt idx="3">
                  <c:v>21.566918220667024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278-4FC7-9A1E-D32AB03CAA91}"/>
            </c:ext>
          </c:extLst>
        </c:ser>
        <c:ser>
          <c:idx val="1"/>
          <c:order val="1"/>
          <c:tx>
            <c:v>Wheat</c:v>
          </c:tx>
          <c:spPr>
            <a:ln w="12700" cap="rnd">
              <a:solidFill>
                <a:srgbClr val="7030A0"/>
              </a:solidFill>
              <a:prstDash val="solid"/>
              <a:round/>
            </a:ln>
            <a:effectLst/>
          </c:spPr>
          <c:marker>
            <c:symbol val="square"/>
            <c:size val="6"/>
            <c:spPr>
              <a:solidFill>
                <a:srgbClr val="7030A0"/>
              </a:solidFill>
              <a:ln w="9525">
                <a:noFill/>
                <a:prstDash val="sysDash"/>
              </a:ln>
              <a:effectLst/>
            </c:spPr>
          </c:marker>
          <c:val>
            <c:numRef>
              <c:f>('Sea water'!$B$32,'Sea water'!$D$32,'Sea water'!$F$32,'Sea water'!$H$32)</c:f>
              <c:numCache>
                <c:formatCode>0.0</c:formatCode>
                <c:ptCount val="4"/>
                <c:pt idx="0">
                  <c:v>31.642322684680437</c:v>
                </c:pt>
                <c:pt idx="1">
                  <c:v>24.809426237098695</c:v>
                </c:pt>
                <c:pt idx="2">
                  <c:v>24.313860740660257</c:v>
                </c:pt>
                <c:pt idx="3">
                  <c:v>22.479283836626546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8-4FC7-9A1E-D32AB03CAA91}"/>
            </c:ext>
          </c:extLst>
        </c:ser>
        <c:ser>
          <c:idx val="2"/>
          <c:order val="2"/>
          <c:tx>
            <c:v>Rice Crushed</c:v>
          </c:tx>
          <c:spPr>
            <a:ln w="12700" cap="rnd">
              <a:solidFill>
                <a:srgbClr val="CC00FF"/>
              </a:solidFill>
              <a:prstDash val="solid"/>
              <a:round/>
            </a:ln>
            <a:effectLst/>
          </c:spPr>
          <c:marker>
            <c:symbol val="plus"/>
            <c:size val="6"/>
            <c:spPr>
              <a:solidFill>
                <a:srgbClr val="CC00FF"/>
              </a:solidFill>
              <a:ln w="9525">
                <a:noFill/>
              </a:ln>
              <a:effectLst/>
            </c:spPr>
          </c:marker>
          <c:val>
            <c:numRef>
              <c:f>('Sea water'!$B$33,'Sea water'!$D$33,'Sea water'!$F$33,'Sea water'!$H$33)</c:f>
              <c:numCache>
                <c:formatCode>0.0</c:formatCode>
                <c:ptCount val="4"/>
                <c:pt idx="0">
                  <c:v>15.813763814994218</c:v>
                </c:pt>
                <c:pt idx="1">
                  <c:v>9.3566438531224261</c:v>
                </c:pt>
                <c:pt idx="2">
                  <c:v>5.8450207988897374</c:v>
                </c:pt>
                <c:pt idx="3">
                  <c:v>2.1069472860196137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278-4FC7-9A1E-D32AB03CAA91}"/>
            </c:ext>
          </c:extLst>
        </c:ser>
        <c:ser>
          <c:idx val="3"/>
          <c:order val="3"/>
          <c:tx>
            <c:v>Norit 1240</c:v>
          </c:tx>
          <c:spPr>
            <a:ln w="12700" cap="rnd">
              <a:solidFill>
                <a:schemeClr val="accent4"/>
              </a:solidFill>
              <a:prstDash val="solid"/>
              <a:round/>
            </a:ln>
            <a:effectLst/>
          </c:spPr>
          <c:marker>
            <c:symbol val="dash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('Sea water'!$B$35,'Sea water'!$D$35,'Sea water'!$F$35,'Sea water'!$H$35)</c:f>
              <c:numCache>
                <c:formatCode>0.0</c:formatCode>
                <c:ptCount val="4"/>
                <c:pt idx="0">
                  <c:v>15.095029750623226</c:v>
                </c:pt>
                <c:pt idx="1">
                  <c:v>12.128200553402337</c:v>
                </c:pt>
                <c:pt idx="2">
                  <c:v>6.7360541252674713</c:v>
                </c:pt>
                <c:pt idx="3">
                  <c:v>4.5864157135642838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78-4FC7-9A1E-D32AB03CAA91}"/>
            </c:ext>
          </c:extLst>
        </c:ser>
        <c:ser>
          <c:idx val="4"/>
          <c:order val="4"/>
          <c:tx>
            <c:v>Norit 830</c:v>
          </c:tx>
          <c:spPr>
            <a:ln w="12700" cap="rnd">
              <a:solidFill>
                <a:srgbClr val="9999FF"/>
              </a:solidFill>
              <a:prstDash val="solid"/>
              <a:round/>
            </a:ln>
            <a:effectLst/>
          </c:spPr>
          <c:marker>
            <c:symbol val="star"/>
            <c:size val="6"/>
            <c:spPr>
              <a:solidFill>
                <a:srgbClr val="9999FF"/>
              </a:solidFill>
              <a:ln w="9525">
                <a:noFill/>
              </a:ln>
              <a:effectLst/>
            </c:spPr>
          </c:marker>
          <c:val>
            <c:numRef>
              <c:f>('Sea water'!$B$36,'Sea water'!$D$36,'Sea water'!$F$36,'Sea water'!$H$36)</c:f>
              <c:numCache>
                <c:formatCode>0.0</c:formatCode>
                <c:ptCount val="4"/>
                <c:pt idx="0">
                  <c:v>21.350313434144258</c:v>
                </c:pt>
                <c:pt idx="1">
                  <c:v>13.534490720447858</c:v>
                </c:pt>
                <c:pt idx="2">
                  <c:v>12.046153285780079</c:v>
                </c:pt>
                <c:pt idx="3">
                  <c:v>9.397667486933555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78-4FC7-9A1E-D32AB03CAA91}"/>
            </c:ext>
          </c:extLst>
        </c:ser>
        <c:ser>
          <c:idx val="5"/>
          <c:order val="5"/>
          <c:tx>
            <c:v>Activated Carbon</c:v>
          </c:tx>
          <c:spPr>
            <a:ln w="12700" cap="rnd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dash"/>
            <c:size val="6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val>
            <c:numRef>
              <c:f>('Sea water'!$B$37,'Sea water'!$D$37,'Sea water'!$F$37,'Sea water'!$H$37)</c:f>
              <c:numCache>
                <c:formatCode>0.0</c:formatCode>
                <c:ptCount val="4"/>
                <c:pt idx="0">
                  <c:v>19.998174463729427</c:v>
                </c:pt>
                <c:pt idx="1">
                  <c:v>13.764223069790186</c:v>
                </c:pt>
                <c:pt idx="2">
                  <c:v>10.237831507385488</c:v>
                </c:pt>
                <c:pt idx="3">
                  <c:v>5.4200159526064349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78-4FC7-9A1E-D32AB03CAA91}"/>
            </c:ext>
          </c:extLst>
        </c:ser>
        <c:ser>
          <c:idx val="6"/>
          <c:order val="6"/>
          <c:tx>
            <c:v>Control</c:v>
          </c:tx>
          <c:spPr>
            <a:ln w="15875" cap="rnd">
              <a:solidFill>
                <a:srgbClr val="996633"/>
              </a:solidFill>
              <a:prstDash val="solid"/>
              <a:round/>
            </a:ln>
            <a:effectLst/>
          </c:spPr>
          <c:marker>
            <c:symbol val="circle"/>
            <c:size val="6"/>
            <c:spPr>
              <a:solidFill>
                <a:srgbClr val="996633"/>
              </a:solidFill>
              <a:ln w="9525">
                <a:solidFill>
                  <a:srgbClr val="996633"/>
                </a:solidFill>
              </a:ln>
              <a:effectLst/>
            </c:spPr>
          </c:marker>
          <c:val>
            <c:numRef>
              <c:f>('Sea water'!$B$38,'Sea water'!$D$38,'Sea water'!$F$38,'Sea water'!$H$38)</c:f>
              <c:numCache>
                <c:formatCode>0.0</c:formatCode>
                <c:ptCount val="4"/>
                <c:pt idx="0">
                  <c:v>49.935581473739319</c:v>
                </c:pt>
                <c:pt idx="1">
                  <c:v>50.401609953833749</c:v>
                </c:pt>
                <c:pt idx="2">
                  <c:v>50.887329778157529</c:v>
                </c:pt>
                <c:pt idx="3">
                  <c:v>46.3681662775235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278-4FC7-9A1E-D32AB03CAA91}"/>
            </c:ext>
          </c:extLst>
        </c:ser>
        <c:ser>
          <c:idx val="7"/>
          <c:order val="7"/>
          <c:tx>
            <c:v>Rice</c:v>
          </c:tx>
          <c:spPr>
            <a:ln w="15875" cap="rnd">
              <a:solidFill>
                <a:srgbClr val="FF0066"/>
              </a:solidFill>
              <a:prstDash val="solid"/>
              <a:round/>
            </a:ln>
            <a:effectLst/>
          </c:spPr>
          <c:marker>
            <c:symbol val="triangle"/>
            <c:size val="5"/>
            <c:spPr>
              <a:solidFill>
                <a:srgbClr val="FF0066"/>
              </a:solidFill>
              <a:ln w="6350">
                <a:noFill/>
              </a:ln>
              <a:effectLst/>
            </c:spPr>
          </c:marker>
          <c:val>
            <c:numRef>
              <c:f>('Sea water'!$B$34,'Sea water'!$D$34,'Sea water'!$F$34,'Sea water'!$H$34)</c:f>
              <c:numCache>
                <c:formatCode>0.0</c:formatCode>
                <c:ptCount val="4"/>
                <c:pt idx="0">
                  <c:v>13.864320736289338</c:v>
                </c:pt>
                <c:pt idx="1">
                  <c:v>15.090106914565892</c:v>
                </c:pt>
                <c:pt idx="2">
                  <c:v>8.5575034664816219</c:v>
                </c:pt>
                <c:pt idx="3">
                  <c:v>5.6300569577194182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278-4FC7-9A1E-D32AB03CAA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5204048"/>
        <c:axId val="1415087392"/>
      </c:lineChart>
      <c:catAx>
        <c:axId val="15852040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badi" panose="020B0604020104020204" pitchFamily="34" charset="0"/>
                    <a:ea typeface="+mn-ea"/>
                    <a:cs typeface="+mn-cs"/>
                  </a:defRPr>
                </a:pPr>
                <a:r>
                  <a:rPr lang="en-GB">
                    <a:latin typeface="Abadi" panose="020B0604020104020204" pitchFamily="34" charset="0"/>
                  </a:rPr>
                  <a:t>Collection time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badi" panose="020B0604020104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badi" panose="020B0604020104020204" pitchFamily="34" charset="0"/>
                <a:ea typeface="+mn-ea"/>
                <a:cs typeface="+mn-cs"/>
              </a:defRPr>
            </a:pPr>
            <a:endParaRPr lang="en-US"/>
          </a:p>
        </c:txPr>
        <c:crossAx val="1415087392"/>
        <c:crosses val="autoZero"/>
        <c:auto val="1"/>
        <c:lblAlgn val="ctr"/>
        <c:lblOffset val="100"/>
        <c:noMultiLvlLbl val="0"/>
      </c:catAx>
      <c:valAx>
        <c:axId val="1415087392"/>
        <c:scaling>
          <c:orientation val="minMax"/>
          <c:max val="7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badi" panose="020B0604020104020204" pitchFamily="34" charset="0"/>
                    <a:ea typeface="+mn-ea"/>
                    <a:cs typeface="+mn-cs"/>
                  </a:defRPr>
                </a:pPr>
                <a:r>
                  <a:rPr lang="en-GB">
                    <a:latin typeface="Abadi" panose="020B0604020104020204" pitchFamily="34" charset="0"/>
                  </a:rPr>
                  <a:t>Concentration</a:t>
                </a:r>
                <a:r>
                  <a:rPr lang="en-GB" baseline="0">
                    <a:latin typeface="Abadi" panose="020B0604020104020204" pitchFamily="34" charset="0"/>
                  </a:rPr>
                  <a:t> (mg/L)</a:t>
                </a:r>
                <a:endParaRPr lang="en-GB">
                  <a:latin typeface="Abadi" panose="020B0604020104020204" pitchFamily="34" charset="0"/>
                </a:endParaRPr>
              </a:p>
            </c:rich>
          </c:tx>
          <c:layout>
            <c:manualLayout>
              <c:xMode val="edge"/>
              <c:yMode val="edge"/>
              <c:x val="1.2715712988192553E-2"/>
              <c:y val="0.3212331574012388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badi" panose="020B0604020104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badi" panose="020B0604020104020204" pitchFamily="34" charset="0"/>
                <a:ea typeface="+mn-ea"/>
                <a:cs typeface="+mn-cs"/>
              </a:defRPr>
            </a:pPr>
            <a:endParaRPr lang="en-US"/>
          </a:p>
        </c:txPr>
        <c:crossAx val="1585204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badi" panose="020B0604020104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4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13" Type="http://schemas.openxmlformats.org/officeDocument/2006/relationships/chart" Target="../charts/chart22.xml"/><Relationship Id="rId3" Type="http://schemas.openxmlformats.org/officeDocument/2006/relationships/chart" Target="../charts/chart12.xml"/><Relationship Id="rId7" Type="http://schemas.openxmlformats.org/officeDocument/2006/relationships/chart" Target="../charts/chart16.xml"/><Relationship Id="rId12" Type="http://schemas.openxmlformats.org/officeDocument/2006/relationships/chart" Target="../charts/chart21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openxmlformats.org/officeDocument/2006/relationships/chart" Target="../charts/chart15.xml"/><Relationship Id="rId11" Type="http://schemas.openxmlformats.org/officeDocument/2006/relationships/chart" Target="../charts/chart20.xml"/><Relationship Id="rId5" Type="http://schemas.openxmlformats.org/officeDocument/2006/relationships/chart" Target="../charts/chart14.xml"/><Relationship Id="rId10" Type="http://schemas.openxmlformats.org/officeDocument/2006/relationships/chart" Target="../charts/chart19.xml"/><Relationship Id="rId4" Type="http://schemas.openxmlformats.org/officeDocument/2006/relationships/chart" Target="../charts/chart13.xml"/><Relationship Id="rId9" Type="http://schemas.openxmlformats.org/officeDocument/2006/relationships/chart" Target="../charts/chart18.xml"/><Relationship Id="rId14" Type="http://schemas.openxmlformats.org/officeDocument/2006/relationships/chart" Target="../charts/chart2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1.xml"/><Relationship Id="rId13" Type="http://schemas.openxmlformats.org/officeDocument/2006/relationships/chart" Target="../charts/chart36.xml"/><Relationship Id="rId3" Type="http://schemas.openxmlformats.org/officeDocument/2006/relationships/chart" Target="../charts/chart26.xml"/><Relationship Id="rId7" Type="http://schemas.openxmlformats.org/officeDocument/2006/relationships/chart" Target="../charts/chart30.xml"/><Relationship Id="rId12" Type="http://schemas.openxmlformats.org/officeDocument/2006/relationships/chart" Target="../charts/chart35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6" Type="http://schemas.openxmlformats.org/officeDocument/2006/relationships/chart" Target="../charts/chart29.xml"/><Relationship Id="rId11" Type="http://schemas.openxmlformats.org/officeDocument/2006/relationships/chart" Target="../charts/chart34.xml"/><Relationship Id="rId5" Type="http://schemas.openxmlformats.org/officeDocument/2006/relationships/chart" Target="../charts/chart28.xml"/><Relationship Id="rId10" Type="http://schemas.openxmlformats.org/officeDocument/2006/relationships/chart" Target="../charts/chart33.xml"/><Relationship Id="rId4" Type="http://schemas.openxmlformats.org/officeDocument/2006/relationships/chart" Target="../charts/chart27.xml"/><Relationship Id="rId9" Type="http://schemas.openxmlformats.org/officeDocument/2006/relationships/chart" Target="../charts/chart32.xml"/><Relationship Id="rId14" Type="http://schemas.openxmlformats.org/officeDocument/2006/relationships/chart" Target="../charts/chart37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0.xml"/><Relationship Id="rId7" Type="http://schemas.openxmlformats.org/officeDocument/2006/relationships/chart" Target="../charts/chart44.xml"/><Relationship Id="rId2" Type="http://schemas.openxmlformats.org/officeDocument/2006/relationships/chart" Target="../charts/chart39.xml"/><Relationship Id="rId1" Type="http://schemas.openxmlformats.org/officeDocument/2006/relationships/chart" Target="../charts/chart38.xml"/><Relationship Id="rId6" Type="http://schemas.openxmlformats.org/officeDocument/2006/relationships/chart" Target="../charts/chart43.xml"/><Relationship Id="rId5" Type="http://schemas.openxmlformats.org/officeDocument/2006/relationships/chart" Target="../charts/chart42.xml"/><Relationship Id="rId4" Type="http://schemas.openxmlformats.org/officeDocument/2006/relationships/chart" Target="../charts/chart41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7.xml"/><Relationship Id="rId7" Type="http://schemas.openxmlformats.org/officeDocument/2006/relationships/chart" Target="../charts/chart51.xml"/><Relationship Id="rId2" Type="http://schemas.openxmlformats.org/officeDocument/2006/relationships/chart" Target="../charts/chart46.xml"/><Relationship Id="rId1" Type="http://schemas.openxmlformats.org/officeDocument/2006/relationships/chart" Target="../charts/chart45.xml"/><Relationship Id="rId6" Type="http://schemas.openxmlformats.org/officeDocument/2006/relationships/chart" Target="../charts/chart50.xml"/><Relationship Id="rId5" Type="http://schemas.openxmlformats.org/officeDocument/2006/relationships/chart" Target="../charts/chart49.xml"/><Relationship Id="rId4" Type="http://schemas.openxmlformats.org/officeDocument/2006/relationships/chart" Target="../charts/chart4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548640</xdr:colOff>
      <xdr:row>1</xdr:row>
      <xdr:rowOff>97155</xdr:rowOff>
    </xdr:from>
    <xdr:to>
      <xdr:col>12</xdr:col>
      <xdr:colOff>243840</xdr:colOff>
      <xdr:row>16</xdr:row>
      <xdr:rowOff>99060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4172D0D-527B-BE2A-5086-5F73C6449C7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1415576</xdr:colOff>
      <xdr:row>46</xdr:row>
      <xdr:rowOff>78429</xdr:rowOff>
    </xdr:from>
    <xdr:to>
      <xdr:col>29</xdr:col>
      <xdr:colOff>184391</xdr:colOff>
      <xdr:row>69</xdr:row>
      <xdr:rowOff>417727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B7FE58B-0F33-412D-C8C3-F46BE7500B1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514350</xdr:colOff>
      <xdr:row>1</xdr:row>
      <xdr:rowOff>268605</xdr:rowOff>
    </xdr:from>
    <xdr:to>
      <xdr:col>41</xdr:col>
      <xdr:colOff>114300</xdr:colOff>
      <xdr:row>26</xdr:row>
      <xdr:rowOff>118501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75A814E-8C6E-4834-8B5E-AAE1CFFF6F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29</xdr:col>
      <xdr:colOff>504825</xdr:colOff>
      <xdr:row>30</xdr:row>
      <xdr:rowOff>116033</xdr:rowOff>
    </xdr:from>
    <xdr:to>
      <xdr:col>43</xdr:col>
      <xdr:colOff>104775</xdr:colOff>
      <xdr:row>53</xdr:row>
      <xdr:rowOff>146038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D81F0EC-1912-488D-91C4-6C502212BA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540328</xdr:colOff>
      <xdr:row>23</xdr:row>
      <xdr:rowOff>13855</xdr:rowOff>
    </xdr:from>
    <xdr:to>
      <xdr:col>27</xdr:col>
      <xdr:colOff>525224</xdr:colOff>
      <xdr:row>46</xdr:row>
      <xdr:rowOff>104550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34DDF1A-573E-44D9-8BCD-A549831DF6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</xdr:colOff>
      <xdr:row>1</xdr:row>
      <xdr:rowOff>0</xdr:rowOff>
    </xdr:from>
    <xdr:to>
      <xdr:col>14</xdr:col>
      <xdr:colOff>308610</xdr:colOff>
      <xdr:row>15</xdr:row>
      <xdr:rowOff>64770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02A0985-F02E-6615-A23E-72B8C344DE9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103909</xdr:colOff>
      <xdr:row>11</xdr:row>
      <xdr:rowOff>69273</xdr:rowOff>
    </xdr:from>
    <xdr:to>
      <xdr:col>48</xdr:col>
      <xdr:colOff>500088</xdr:colOff>
      <xdr:row>35</xdr:row>
      <xdr:rowOff>103110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85B64A9-C3AA-468C-B5A3-61962F7280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36</xdr:col>
      <xdr:colOff>134471</xdr:colOff>
      <xdr:row>37</xdr:row>
      <xdr:rowOff>33617</xdr:rowOff>
    </xdr:from>
    <xdr:to>
      <xdr:col>48</xdr:col>
      <xdr:colOff>530650</xdr:colOff>
      <xdr:row>59</xdr:row>
      <xdr:rowOff>67455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A878388-CC93-4F9D-8106-F6AC0983B2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788079</xdr:colOff>
      <xdr:row>2</xdr:row>
      <xdr:rowOff>21188</xdr:rowOff>
    </xdr:from>
    <xdr:to>
      <xdr:col>27</xdr:col>
      <xdr:colOff>301921</xdr:colOff>
      <xdr:row>27</xdr:row>
      <xdr:rowOff>181155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F5048C2-ADA5-4B48-933E-74D6DA248B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578225</xdr:colOff>
      <xdr:row>8</xdr:row>
      <xdr:rowOff>76201</xdr:rowOff>
    </xdr:from>
    <xdr:to>
      <xdr:col>13</xdr:col>
      <xdr:colOff>412377</xdr:colOff>
      <xdr:row>17</xdr:row>
      <xdr:rowOff>80683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395237A-EF22-494C-8B8A-8258116ED0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564777</xdr:colOff>
      <xdr:row>8</xdr:row>
      <xdr:rowOff>143435</xdr:rowOff>
    </xdr:from>
    <xdr:to>
      <xdr:col>19</xdr:col>
      <xdr:colOff>398929</xdr:colOff>
      <xdr:row>17</xdr:row>
      <xdr:rowOff>147917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8764107-52F5-4F13-A040-20906A0070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18</xdr:row>
      <xdr:rowOff>0</xdr:rowOff>
    </xdr:from>
    <xdr:to>
      <xdr:col>13</xdr:col>
      <xdr:colOff>443752</xdr:colOff>
      <xdr:row>29</xdr:row>
      <xdr:rowOff>13446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CD08C63-55DB-48BF-8B35-D9E7093B8A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30</xdr:row>
      <xdr:rowOff>0</xdr:rowOff>
    </xdr:from>
    <xdr:to>
      <xdr:col>13</xdr:col>
      <xdr:colOff>443752</xdr:colOff>
      <xdr:row>41</xdr:row>
      <xdr:rowOff>13447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7E06F36-B8E8-462F-9B87-205C3CE3D2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0</xdr:colOff>
      <xdr:row>42</xdr:row>
      <xdr:rowOff>0</xdr:rowOff>
    </xdr:from>
    <xdr:to>
      <xdr:col>13</xdr:col>
      <xdr:colOff>443752</xdr:colOff>
      <xdr:row>53</xdr:row>
      <xdr:rowOff>13446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3FC9C422-7458-434B-9672-AFEAC8E57C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0</xdr:colOff>
      <xdr:row>54</xdr:row>
      <xdr:rowOff>0</xdr:rowOff>
    </xdr:from>
    <xdr:to>
      <xdr:col>13</xdr:col>
      <xdr:colOff>443752</xdr:colOff>
      <xdr:row>65</xdr:row>
      <xdr:rowOff>13447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C5688409-87F5-4BEA-87C2-FFB394D56C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0</xdr:colOff>
      <xdr:row>66</xdr:row>
      <xdr:rowOff>0</xdr:rowOff>
    </xdr:from>
    <xdr:to>
      <xdr:col>13</xdr:col>
      <xdr:colOff>443752</xdr:colOff>
      <xdr:row>77</xdr:row>
      <xdr:rowOff>13447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9696BF8-091F-4B76-BE33-2C9F3D4046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8</xdr:col>
      <xdr:colOff>0</xdr:colOff>
      <xdr:row>78</xdr:row>
      <xdr:rowOff>0</xdr:rowOff>
    </xdr:from>
    <xdr:to>
      <xdr:col>13</xdr:col>
      <xdr:colOff>443752</xdr:colOff>
      <xdr:row>89</xdr:row>
      <xdr:rowOff>13447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F2FC68B0-9E83-4EE0-839F-72BE80F08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</xdr:col>
      <xdr:colOff>0</xdr:colOff>
      <xdr:row>18</xdr:row>
      <xdr:rowOff>0</xdr:rowOff>
    </xdr:from>
    <xdr:to>
      <xdr:col>19</xdr:col>
      <xdr:colOff>443752</xdr:colOff>
      <xdr:row>29</xdr:row>
      <xdr:rowOff>13446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3629C655-67F9-4108-8FA4-E24E960BC6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14</xdr:col>
      <xdr:colOff>0</xdr:colOff>
      <xdr:row>30</xdr:row>
      <xdr:rowOff>0</xdr:rowOff>
    </xdr:from>
    <xdr:to>
      <xdr:col>19</xdr:col>
      <xdr:colOff>443752</xdr:colOff>
      <xdr:row>41</xdr:row>
      <xdr:rowOff>13447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484DF205-459B-49F7-963C-28849F5074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14</xdr:col>
      <xdr:colOff>0</xdr:colOff>
      <xdr:row>42</xdr:row>
      <xdr:rowOff>0</xdr:rowOff>
    </xdr:from>
    <xdr:to>
      <xdr:col>19</xdr:col>
      <xdr:colOff>443752</xdr:colOff>
      <xdr:row>53</xdr:row>
      <xdr:rowOff>13446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38E50F17-B75B-4AFC-8D6A-334DD9FD45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14</xdr:col>
      <xdr:colOff>0</xdr:colOff>
      <xdr:row>54</xdr:row>
      <xdr:rowOff>0</xdr:rowOff>
    </xdr:from>
    <xdr:to>
      <xdr:col>19</xdr:col>
      <xdr:colOff>443752</xdr:colOff>
      <xdr:row>65</xdr:row>
      <xdr:rowOff>13447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62C92C74-207E-49D7-930C-E32946BE71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14</xdr:col>
      <xdr:colOff>0</xdr:colOff>
      <xdr:row>66</xdr:row>
      <xdr:rowOff>0</xdr:rowOff>
    </xdr:from>
    <xdr:to>
      <xdr:col>19</xdr:col>
      <xdr:colOff>443752</xdr:colOff>
      <xdr:row>77</xdr:row>
      <xdr:rowOff>13447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692F7CBE-D42B-459C-AA78-289A2C0A39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14</xdr:col>
      <xdr:colOff>0</xdr:colOff>
      <xdr:row>78</xdr:row>
      <xdr:rowOff>0</xdr:rowOff>
    </xdr:from>
    <xdr:to>
      <xdr:col>19</xdr:col>
      <xdr:colOff>443752</xdr:colOff>
      <xdr:row>89</xdr:row>
      <xdr:rowOff>13447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5D0AB2C1-7651-4991-9CAD-853220B6BF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578225</xdr:colOff>
      <xdr:row>8</xdr:row>
      <xdr:rowOff>76201</xdr:rowOff>
    </xdr:from>
    <xdr:to>
      <xdr:col>13</xdr:col>
      <xdr:colOff>412377</xdr:colOff>
      <xdr:row>17</xdr:row>
      <xdr:rowOff>80683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4416CD7-BC85-724C-C29D-0F7B3EED6E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35858</xdr:colOff>
      <xdr:row>8</xdr:row>
      <xdr:rowOff>89647</xdr:rowOff>
    </xdr:from>
    <xdr:to>
      <xdr:col>19</xdr:col>
      <xdr:colOff>479610</xdr:colOff>
      <xdr:row>17</xdr:row>
      <xdr:rowOff>94129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08BA452-C4E3-4899-8B54-05673E8AC5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18</xdr:row>
      <xdr:rowOff>0</xdr:rowOff>
    </xdr:from>
    <xdr:to>
      <xdr:col>13</xdr:col>
      <xdr:colOff>443752</xdr:colOff>
      <xdr:row>29</xdr:row>
      <xdr:rowOff>13446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882FC89-493F-43B7-8B97-B9F2F13CCA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564776</xdr:colOff>
      <xdr:row>30</xdr:row>
      <xdr:rowOff>8965</xdr:rowOff>
    </xdr:from>
    <xdr:to>
      <xdr:col>13</xdr:col>
      <xdr:colOff>398928</xdr:colOff>
      <xdr:row>41</xdr:row>
      <xdr:rowOff>22412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F3B10FA-C424-4108-9739-9A797F4678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0</xdr:colOff>
      <xdr:row>42</xdr:row>
      <xdr:rowOff>0</xdr:rowOff>
    </xdr:from>
    <xdr:to>
      <xdr:col>13</xdr:col>
      <xdr:colOff>443752</xdr:colOff>
      <xdr:row>53</xdr:row>
      <xdr:rowOff>13446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1C7C2956-287D-4AE4-B9AA-C058E46C50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0</xdr:colOff>
      <xdr:row>54</xdr:row>
      <xdr:rowOff>0</xdr:rowOff>
    </xdr:from>
    <xdr:to>
      <xdr:col>13</xdr:col>
      <xdr:colOff>443752</xdr:colOff>
      <xdr:row>65</xdr:row>
      <xdr:rowOff>13447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78DC9BF9-9D1F-4C66-A3A0-6CF5A2CAC1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0</xdr:colOff>
      <xdr:row>66</xdr:row>
      <xdr:rowOff>0</xdr:rowOff>
    </xdr:from>
    <xdr:to>
      <xdr:col>13</xdr:col>
      <xdr:colOff>443752</xdr:colOff>
      <xdr:row>77</xdr:row>
      <xdr:rowOff>13447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6DFBED6C-1EBE-4E47-BD5A-6A8FFD238C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8</xdr:col>
      <xdr:colOff>0</xdr:colOff>
      <xdr:row>78</xdr:row>
      <xdr:rowOff>0</xdr:rowOff>
    </xdr:from>
    <xdr:to>
      <xdr:col>13</xdr:col>
      <xdr:colOff>443752</xdr:colOff>
      <xdr:row>89</xdr:row>
      <xdr:rowOff>13447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302BFE22-DFA7-47D9-87C7-5EF2A5366B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</xdr:col>
      <xdr:colOff>0</xdr:colOff>
      <xdr:row>18</xdr:row>
      <xdr:rowOff>0</xdr:rowOff>
    </xdr:from>
    <xdr:to>
      <xdr:col>19</xdr:col>
      <xdr:colOff>443752</xdr:colOff>
      <xdr:row>29</xdr:row>
      <xdr:rowOff>13446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5D7E1467-AA2E-481F-B5F5-5CB00D146C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14</xdr:col>
      <xdr:colOff>0</xdr:colOff>
      <xdr:row>30</xdr:row>
      <xdr:rowOff>0</xdr:rowOff>
    </xdr:from>
    <xdr:to>
      <xdr:col>19</xdr:col>
      <xdr:colOff>443752</xdr:colOff>
      <xdr:row>41</xdr:row>
      <xdr:rowOff>13447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E3B1D407-1D27-4C6E-A31A-154CFC4578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14</xdr:col>
      <xdr:colOff>0</xdr:colOff>
      <xdr:row>42</xdr:row>
      <xdr:rowOff>0</xdr:rowOff>
    </xdr:from>
    <xdr:to>
      <xdr:col>19</xdr:col>
      <xdr:colOff>443752</xdr:colOff>
      <xdr:row>53</xdr:row>
      <xdr:rowOff>13446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838A77C8-AA0E-49AD-A55D-E9C8834D51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14</xdr:col>
      <xdr:colOff>0</xdr:colOff>
      <xdr:row>54</xdr:row>
      <xdr:rowOff>0</xdr:rowOff>
    </xdr:from>
    <xdr:to>
      <xdr:col>19</xdr:col>
      <xdr:colOff>443752</xdr:colOff>
      <xdr:row>65</xdr:row>
      <xdr:rowOff>13447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3FD69E98-70B9-403F-9CE3-1CBEA9DE53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14</xdr:col>
      <xdr:colOff>0</xdr:colOff>
      <xdr:row>66</xdr:row>
      <xdr:rowOff>0</xdr:rowOff>
    </xdr:from>
    <xdr:to>
      <xdr:col>19</xdr:col>
      <xdr:colOff>443752</xdr:colOff>
      <xdr:row>77</xdr:row>
      <xdr:rowOff>13447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7B13A551-516B-4ED5-9F7F-AE136E19CF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14</xdr:col>
      <xdr:colOff>0</xdr:colOff>
      <xdr:row>78</xdr:row>
      <xdr:rowOff>26894</xdr:rowOff>
    </xdr:from>
    <xdr:to>
      <xdr:col>19</xdr:col>
      <xdr:colOff>443752</xdr:colOff>
      <xdr:row>89</xdr:row>
      <xdr:rowOff>40341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BFC8A3DA-8F83-444C-829B-294553C1CC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578225</xdr:colOff>
      <xdr:row>8</xdr:row>
      <xdr:rowOff>76201</xdr:rowOff>
    </xdr:from>
    <xdr:to>
      <xdr:col>13</xdr:col>
      <xdr:colOff>412377</xdr:colOff>
      <xdr:row>17</xdr:row>
      <xdr:rowOff>80683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5C102F6-DE3C-4B8A-93C7-534E7E0EAE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18</xdr:row>
      <xdr:rowOff>0</xdr:rowOff>
    </xdr:from>
    <xdr:to>
      <xdr:col>13</xdr:col>
      <xdr:colOff>443752</xdr:colOff>
      <xdr:row>29</xdr:row>
      <xdr:rowOff>13446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1F8D09B-056D-4AE9-BB7B-772B7887D8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30</xdr:row>
      <xdr:rowOff>0</xdr:rowOff>
    </xdr:from>
    <xdr:to>
      <xdr:col>13</xdr:col>
      <xdr:colOff>443752</xdr:colOff>
      <xdr:row>41</xdr:row>
      <xdr:rowOff>13447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F517834-CCC0-4E14-AF8C-02F6CE41DE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42</xdr:row>
      <xdr:rowOff>0</xdr:rowOff>
    </xdr:from>
    <xdr:to>
      <xdr:col>13</xdr:col>
      <xdr:colOff>443752</xdr:colOff>
      <xdr:row>53</xdr:row>
      <xdr:rowOff>13446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E4ED9C4-7293-43CD-A60A-78108197FA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0</xdr:colOff>
      <xdr:row>54</xdr:row>
      <xdr:rowOff>0</xdr:rowOff>
    </xdr:from>
    <xdr:to>
      <xdr:col>13</xdr:col>
      <xdr:colOff>443752</xdr:colOff>
      <xdr:row>65</xdr:row>
      <xdr:rowOff>13447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DD4CFEE-E66F-4565-B974-1B91C115D7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0</xdr:colOff>
      <xdr:row>66</xdr:row>
      <xdr:rowOff>0</xdr:rowOff>
    </xdr:from>
    <xdr:to>
      <xdr:col>13</xdr:col>
      <xdr:colOff>443752</xdr:colOff>
      <xdr:row>77</xdr:row>
      <xdr:rowOff>13447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93F02B24-846B-4E04-8F80-B469956563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0</xdr:colOff>
      <xdr:row>78</xdr:row>
      <xdr:rowOff>0</xdr:rowOff>
    </xdr:from>
    <xdr:to>
      <xdr:col>13</xdr:col>
      <xdr:colOff>443752</xdr:colOff>
      <xdr:row>89</xdr:row>
      <xdr:rowOff>13447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DCFA41BC-6FA4-4D06-9832-1BF030BCF4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578225</xdr:colOff>
      <xdr:row>8</xdr:row>
      <xdr:rowOff>76201</xdr:rowOff>
    </xdr:from>
    <xdr:to>
      <xdr:col>13</xdr:col>
      <xdr:colOff>412377</xdr:colOff>
      <xdr:row>17</xdr:row>
      <xdr:rowOff>80683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B6BD431-7DA8-4A47-BBDE-CD14C9552B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18</xdr:row>
      <xdr:rowOff>0</xdr:rowOff>
    </xdr:from>
    <xdr:to>
      <xdr:col>13</xdr:col>
      <xdr:colOff>443752</xdr:colOff>
      <xdr:row>29</xdr:row>
      <xdr:rowOff>13446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85B4AC0-08BE-4AC6-9120-75B2DC5CF2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30</xdr:row>
      <xdr:rowOff>0</xdr:rowOff>
    </xdr:from>
    <xdr:to>
      <xdr:col>13</xdr:col>
      <xdr:colOff>443752</xdr:colOff>
      <xdr:row>41</xdr:row>
      <xdr:rowOff>13447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0C3C518-A7C7-490B-B88A-AD169F6FFB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42</xdr:row>
      <xdr:rowOff>0</xdr:rowOff>
    </xdr:from>
    <xdr:to>
      <xdr:col>13</xdr:col>
      <xdr:colOff>443752</xdr:colOff>
      <xdr:row>53</xdr:row>
      <xdr:rowOff>13446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5FF9A53-FF83-4D87-93AB-7FC9F22B47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0</xdr:colOff>
      <xdr:row>54</xdr:row>
      <xdr:rowOff>0</xdr:rowOff>
    </xdr:from>
    <xdr:to>
      <xdr:col>13</xdr:col>
      <xdr:colOff>443752</xdr:colOff>
      <xdr:row>65</xdr:row>
      <xdr:rowOff>13447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F0B8D06-331C-4B5C-81C0-5452CDE648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0</xdr:colOff>
      <xdr:row>66</xdr:row>
      <xdr:rowOff>0</xdr:rowOff>
    </xdr:from>
    <xdr:to>
      <xdr:col>13</xdr:col>
      <xdr:colOff>443752</xdr:colOff>
      <xdr:row>77</xdr:row>
      <xdr:rowOff>13447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399A5D65-950A-41CB-9C9D-8B9EF18485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0</xdr:colOff>
      <xdr:row>78</xdr:row>
      <xdr:rowOff>0</xdr:rowOff>
    </xdr:from>
    <xdr:to>
      <xdr:col>13</xdr:col>
      <xdr:colOff>443752</xdr:colOff>
      <xdr:row>89</xdr:row>
      <xdr:rowOff>13447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BD1F65B7-DB94-46D4-B0D1-C12694F611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3">
  <rv s="0">
    <v>0</v>
    <v>5</v>
  </rv>
  <rv s="0">
    <v>1</v>
    <v>5</v>
  </rv>
  <rv s="0">
    <v>2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DE67E9-67EB-43EA-8E8E-4C8CC2B68028}">
  <dimension ref="A1:C32"/>
  <sheetViews>
    <sheetView workbookViewId="0">
      <selection activeCell="B20" sqref="B20"/>
    </sheetView>
  </sheetViews>
  <sheetFormatPr defaultRowHeight="14.4" x14ac:dyDescent="0.3"/>
  <cols>
    <col min="2" max="2" width="9.6640625" customWidth="1"/>
  </cols>
  <sheetData>
    <row r="1" spans="1:3" ht="15" thickBot="1" x14ac:dyDescent="0.35">
      <c r="A1" s="38" t="s">
        <v>82</v>
      </c>
      <c r="B1" s="39"/>
      <c r="C1" s="40"/>
    </row>
    <row r="2" spans="1:3" x14ac:dyDescent="0.3">
      <c r="A2" s="1" t="s">
        <v>52</v>
      </c>
      <c r="B2" s="5" t="s">
        <v>54</v>
      </c>
      <c r="C2" s="5" t="s">
        <v>53</v>
      </c>
    </row>
    <row r="3" spans="1:3" x14ac:dyDescent="0.3">
      <c r="B3">
        <v>25</v>
      </c>
      <c r="C3">
        <v>460.7</v>
      </c>
    </row>
    <row r="4" spans="1:3" x14ac:dyDescent="0.3">
      <c r="B4">
        <v>12.5</v>
      </c>
      <c r="C4">
        <v>266.2</v>
      </c>
    </row>
    <row r="5" spans="1:3" x14ac:dyDescent="0.3">
      <c r="B5">
        <v>5</v>
      </c>
      <c r="C5">
        <v>107.5</v>
      </c>
    </row>
    <row r="6" spans="1:3" x14ac:dyDescent="0.3">
      <c r="B6">
        <v>2.5</v>
      </c>
      <c r="C6">
        <v>52.6</v>
      </c>
    </row>
    <row r="7" spans="1:3" x14ac:dyDescent="0.3">
      <c r="B7">
        <v>0.5</v>
      </c>
      <c r="C7">
        <v>11.1</v>
      </c>
    </row>
    <row r="9" spans="1:3" x14ac:dyDescent="0.3">
      <c r="A9" s="1" t="s">
        <v>55</v>
      </c>
      <c r="B9">
        <f>SLOPE(C3:C7,B3:B7)</f>
        <v>18.426987710057688</v>
      </c>
    </row>
    <row r="10" spans="1:3" x14ac:dyDescent="0.3">
      <c r="A10" s="1" t="s">
        <v>56</v>
      </c>
      <c r="B10">
        <f>INTERCEPT(C3:C7,B3:B7)</f>
        <v>11.934411838475057</v>
      </c>
    </row>
    <row r="22" spans="1:3" ht="15" thickBot="1" x14ac:dyDescent="0.35"/>
    <row r="23" spans="1:3" ht="15" thickBot="1" x14ac:dyDescent="0.35">
      <c r="A23" s="38" t="s">
        <v>83</v>
      </c>
      <c r="B23" s="39"/>
      <c r="C23" s="40"/>
    </row>
    <row r="24" spans="1:3" x14ac:dyDescent="0.3">
      <c r="A24" s="1" t="s">
        <v>52</v>
      </c>
      <c r="B24" s="5" t="s">
        <v>54</v>
      </c>
      <c r="C24" s="5" t="s">
        <v>53</v>
      </c>
    </row>
    <row r="25" spans="1:3" x14ac:dyDescent="0.3">
      <c r="B25">
        <v>25</v>
      </c>
    </row>
    <row r="26" spans="1:3" x14ac:dyDescent="0.3">
      <c r="B26">
        <v>12.5</v>
      </c>
    </row>
    <row r="27" spans="1:3" x14ac:dyDescent="0.3">
      <c r="B27">
        <v>5</v>
      </c>
    </row>
    <row r="28" spans="1:3" x14ac:dyDescent="0.3">
      <c r="B28">
        <v>2.5</v>
      </c>
    </row>
    <row r="29" spans="1:3" x14ac:dyDescent="0.3">
      <c r="B29">
        <v>0.5</v>
      </c>
    </row>
    <row r="31" spans="1:3" x14ac:dyDescent="0.3">
      <c r="A31" s="1" t="s">
        <v>55</v>
      </c>
      <c r="B31" t="e">
        <f>SLOPE(C25:C29,B25:B29)</f>
        <v>#DIV/0!</v>
      </c>
    </row>
    <row r="32" spans="1:3" x14ac:dyDescent="0.3">
      <c r="A32" s="1" t="s">
        <v>56</v>
      </c>
      <c r="B32" t="e">
        <f>INTERCEPT(C25:C29,B25:B29)</f>
        <v>#DIV/0!</v>
      </c>
    </row>
  </sheetData>
  <mergeCells count="2">
    <mergeCell ref="A1:C1"/>
    <mergeCell ref="A23:C23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81A9C-11B1-4BD9-99C8-ADD84964A197}">
  <dimension ref="A1:I51"/>
  <sheetViews>
    <sheetView zoomScale="55" zoomScaleNormal="55" workbookViewId="0">
      <selection activeCell="G58" sqref="G58"/>
    </sheetView>
  </sheetViews>
  <sheetFormatPr defaultRowHeight="14.4" x14ac:dyDescent="0.3"/>
  <sheetData>
    <row r="1" spans="1:9" ht="15.6" x14ac:dyDescent="0.3">
      <c r="A1" s="78" t="s">
        <v>123</v>
      </c>
      <c r="B1" s="79"/>
      <c r="C1" s="79"/>
      <c r="D1" s="79"/>
      <c r="E1" s="79"/>
      <c r="F1" s="79"/>
      <c r="G1" s="79"/>
      <c r="H1" s="79"/>
      <c r="I1" s="80"/>
    </row>
    <row r="2" spans="1:9" x14ac:dyDescent="0.3">
      <c r="A2" s="65" t="e" vm="3">
        <v>#VALUE!</v>
      </c>
      <c r="B2" s="66"/>
      <c r="C2" s="66"/>
      <c r="D2" s="66"/>
      <c r="E2" s="66"/>
      <c r="F2" s="66"/>
      <c r="G2" s="66"/>
      <c r="H2" s="66"/>
      <c r="I2" s="67"/>
    </row>
    <row r="3" spans="1:9" x14ac:dyDescent="0.3">
      <c r="A3" s="68"/>
      <c r="B3" s="69"/>
      <c r="C3" s="69"/>
      <c r="D3" s="69"/>
      <c r="E3" s="69"/>
      <c r="F3" s="69"/>
      <c r="G3" s="69"/>
      <c r="H3" s="69"/>
      <c r="I3" s="70"/>
    </row>
    <row r="4" spans="1:9" x14ac:dyDescent="0.3">
      <c r="A4" s="68"/>
      <c r="B4" s="69"/>
      <c r="C4" s="69"/>
      <c r="D4" s="69"/>
      <c r="E4" s="69"/>
      <c r="F4" s="69"/>
      <c r="G4" s="69"/>
      <c r="H4" s="69"/>
      <c r="I4" s="70"/>
    </row>
    <row r="5" spans="1:9" x14ac:dyDescent="0.3">
      <c r="A5" s="68"/>
      <c r="B5" s="69"/>
      <c r="C5" s="69"/>
      <c r="D5" s="69"/>
      <c r="E5" s="69"/>
      <c r="F5" s="69"/>
      <c r="G5" s="69"/>
      <c r="H5" s="69"/>
      <c r="I5" s="70"/>
    </row>
    <row r="6" spans="1:9" x14ac:dyDescent="0.3">
      <c r="A6" s="68"/>
      <c r="B6" s="69"/>
      <c r="C6" s="69"/>
      <c r="D6" s="69"/>
      <c r="E6" s="69"/>
      <c r="F6" s="69"/>
      <c r="G6" s="69"/>
      <c r="H6" s="69"/>
      <c r="I6" s="70"/>
    </row>
    <row r="7" spans="1:9" x14ac:dyDescent="0.3">
      <c r="A7" s="68"/>
      <c r="B7" s="69"/>
      <c r="C7" s="69"/>
      <c r="D7" s="69"/>
      <c r="E7" s="69"/>
      <c r="F7" s="69"/>
      <c r="G7" s="69"/>
      <c r="H7" s="69"/>
      <c r="I7" s="70"/>
    </row>
    <row r="8" spans="1:9" x14ac:dyDescent="0.3">
      <c r="A8" s="68"/>
      <c r="B8" s="69"/>
      <c r="C8" s="69"/>
      <c r="D8" s="69"/>
      <c r="E8" s="69"/>
      <c r="F8" s="69"/>
      <c r="G8" s="69"/>
      <c r="H8" s="69"/>
      <c r="I8" s="70"/>
    </row>
    <row r="9" spans="1:9" x14ac:dyDescent="0.3">
      <c r="A9" s="68"/>
      <c r="B9" s="69"/>
      <c r="C9" s="69"/>
      <c r="D9" s="69"/>
      <c r="E9" s="69"/>
      <c r="F9" s="69"/>
      <c r="G9" s="69"/>
      <c r="H9" s="69"/>
      <c r="I9" s="70"/>
    </row>
    <row r="10" spans="1:9" x14ac:dyDescent="0.3">
      <c r="A10" s="68"/>
      <c r="B10" s="69"/>
      <c r="C10" s="69"/>
      <c r="D10" s="69"/>
      <c r="E10" s="69"/>
      <c r="F10" s="69"/>
      <c r="G10" s="69"/>
      <c r="H10" s="69"/>
      <c r="I10" s="70"/>
    </row>
    <row r="11" spans="1:9" x14ac:dyDescent="0.3">
      <c r="A11" s="68"/>
      <c r="B11" s="69"/>
      <c r="C11" s="69"/>
      <c r="D11" s="69"/>
      <c r="E11" s="69"/>
      <c r="F11" s="69"/>
      <c r="G11" s="69"/>
      <c r="H11" s="69"/>
      <c r="I11" s="70"/>
    </row>
    <row r="12" spans="1:9" x14ac:dyDescent="0.3">
      <c r="A12" s="68"/>
      <c r="B12" s="69"/>
      <c r="C12" s="69"/>
      <c r="D12" s="69"/>
      <c r="E12" s="69"/>
      <c r="F12" s="69"/>
      <c r="G12" s="69"/>
      <c r="H12" s="69"/>
      <c r="I12" s="70"/>
    </row>
    <row r="13" spans="1:9" x14ac:dyDescent="0.3">
      <c r="A13" s="68"/>
      <c r="B13" s="69"/>
      <c r="C13" s="69"/>
      <c r="D13" s="69"/>
      <c r="E13" s="69"/>
      <c r="F13" s="69"/>
      <c r="G13" s="69"/>
      <c r="H13" s="69"/>
      <c r="I13" s="70"/>
    </row>
    <row r="14" spans="1:9" x14ac:dyDescent="0.3">
      <c r="A14" s="71"/>
      <c r="B14" s="72"/>
      <c r="C14" s="72"/>
      <c r="D14" s="72"/>
      <c r="E14" s="72"/>
      <c r="F14" s="72"/>
      <c r="G14" s="72"/>
      <c r="H14" s="72"/>
      <c r="I14" s="73"/>
    </row>
    <row r="17" spans="1:7" ht="43.2" x14ac:dyDescent="0.3">
      <c r="A17" s="11" t="s">
        <v>127</v>
      </c>
      <c r="B17" s="11" t="s">
        <v>130</v>
      </c>
      <c r="C17" s="11" t="s">
        <v>51</v>
      </c>
      <c r="D17" s="11" t="s">
        <v>145</v>
      </c>
      <c r="E17" s="11" t="s">
        <v>146</v>
      </c>
      <c r="F17" s="11" t="s">
        <v>125</v>
      </c>
      <c r="G17" s="11" t="s">
        <v>126</v>
      </c>
    </row>
    <row r="18" spans="1:7" x14ac:dyDescent="0.3">
      <c r="A18" s="9" t="s">
        <v>15</v>
      </c>
      <c r="B18" s="9">
        <v>5.01</v>
      </c>
      <c r="C18" s="9">
        <v>0.05</v>
      </c>
      <c r="D18" s="9">
        <v>50</v>
      </c>
      <c r="E18" s="8">
        <v>39.510830506721256</v>
      </c>
      <c r="F18">
        <f>LN(E18)</f>
        <v>3.6765748243674321</v>
      </c>
      <c r="G18">
        <f>((D18-E18)*C18)/B18</f>
        <v>0.10468233027224297</v>
      </c>
    </row>
    <row r="19" spans="1:7" x14ac:dyDescent="0.3">
      <c r="A19" s="9" t="s">
        <v>16</v>
      </c>
      <c r="B19" s="9">
        <v>5</v>
      </c>
      <c r="C19" s="9">
        <v>0.05</v>
      </c>
      <c r="D19" s="9">
        <v>50</v>
      </c>
      <c r="E19" s="8">
        <v>39.65192790369737</v>
      </c>
      <c r="F19">
        <f t="shared" ref="F19:F41" si="0">LN(E19)</f>
        <v>3.680139569942865</v>
      </c>
      <c r="G19">
        <f t="shared" ref="G19:G38" si="1">((D19-E19)*C19)/B19</f>
        <v>0.1034807209630263</v>
      </c>
    </row>
    <row r="20" spans="1:7" x14ac:dyDescent="0.3">
      <c r="A20" s="9" t="s">
        <v>17</v>
      </c>
      <c r="B20" s="9">
        <v>5.01</v>
      </c>
      <c r="C20" s="9">
        <v>0.05</v>
      </c>
      <c r="D20" s="9">
        <v>50</v>
      </c>
      <c r="E20" s="8">
        <v>27.007430405453228</v>
      </c>
      <c r="F20">
        <f t="shared" si="0"/>
        <v>3.2961120283456711</v>
      </c>
      <c r="G20">
        <f t="shared" si="1"/>
        <v>0.22946676242062647</v>
      </c>
    </row>
    <row r="21" spans="1:7" x14ac:dyDescent="0.3">
      <c r="A21" s="9" t="s">
        <v>27</v>
      </c>
      <c r="B21" s="9">
        <v>5.05</v>
      </c>
      <c r="C21" s="9">
        <v>0.05</v>
      </c>
      <c r="D21" s="9">
        <v>50</v>
      </c>
      <c r="E21" s="8">
        <v>58.341906180071966</v>
      </c>
      <c r="F21">
        <f t="shared" si="0"/>
        <v>4.0663206375443357</v>
      </c>
      <c r="G21">
        <f t="shared" si="1"/>
        <v>-8.2593130495762043E-2</v>
      </c>
    </row>
    <row r="22" spans="1:7" x14ac:dyDescent="0.3">
      <c r="A22" s="9" t="s">
        <v>28</v>
      </c>
      <c r="B22" s="9">
        <v>5.05</v>
      </c>
      <c r="C22" s="9">
        <v>0.05</v>
      </c>
      <c r="D22" s="9">
        <v>50</v>
      </c>
      <c r="E22" s="8">
        <v>36.927662777466224</v>
      </c>
      <c r="F22">
        <f t="shared" si="0"/>
        <v>3.6089609389512343</v>
      </c>
      <c r="G22">
        <f t="shared" si="1"/>
        <v>0.12942908141122553</v>
      </c>
    </row>
    <row r="23" spans="1:7" x14ac:dyDescent="0.3">
      <c r="A23" s="9" t="s">
        <v>29</v>
      </c>
      <c r="B23" s="9">
        <v>5.01</v>
      </c>
      <c r="C23" s="9">
        <v>0.05</v>
      </c>
      <c r="D23" s="9">
        <v>50</v>
      </c>
      <c r="E23" s="8">
        <v>36.450102356931687</v>
      </c>
      <c r="F23">
        <f t="shared" si="0"/>
        <v>3.5959442665969985</v>
      </c>
      <c r="G23">
        <f t="shared" si="1"/>
        <v>0.13522851939189934</v>
      </c>
    </row>
    <row r="24" spans="1:7" x14ac:dyDescent="0.3">
      <c r="A24" s="9" t="s">
        <v>30</v>
      </c>
      <c r="B24" s="9">
        <v>5</v>
      </c>
      <c r="C24" s="9">
        <v>0.05</v>
      </c>
      <c r="D24" s="9">
        <v>50</v>
      </c>
      <c r="E24" s="8">
        <v>6.2444057581218582</v>
      </c>
      <c r="F24">
        <f t="shared" si="0"/>
        <v>1.8316859842256712</v>
      </c>
      <c r="G24">
        <f t="shared" si="1"/>
        <v>0.43755594241878148</v>
      </c>
    </row>
    <row r="25" spans="1:7" x14ac:dyDescent="0.3">
      <c r="A25" s="32" t="s">
        <v>31</v>
      </c>
      <c r="B25" s="9">
        <v>5.0599999999999996</v>
      </c>
      <c r="C25" s="32">
        <v>0.05</v>
      </c>
      <c r="D25" s="9">
        <v>50</v>
      </c>
      <c r="E25" s="8">
        <v>4.8659927261244276</v>
      </c>
      <c r="F25">
        <f t="shared" si="0"/>
        <v>1.5822707495234745</v>
      </c>
      <c r="G25">
        <f t="shared" si="1"/>
        <v>0.44598821416873108</v>
      </c>
    </row>
    <row r="26" spans="1:7" x14ac:dyDescent="0.3">
      <c r="A26" s="9" t="s">
        <v>32</v>
      </c>
      <c r="B26" s="9">
        <v>5.01</v>
      </c>
      <c r="C26" s="9">
        <v>0.05</v>
      </c>
      <c r="D26" s="9">
        <v>50</v>
      </c>
      <c r="E26" s="8">
        <v>20.245608996520954</v>
      </c>
      <c r="F26">
        <f t="shared" si="0"/>
        <v>3.0079379303614484</v>
      </c>
      <c r="G26">
        <f t="shared" si="1"/>
        <v>0.29695001001476096</v>
      </c>
    </row>
    <row r="27" spans="1:7" x14ac:dyDescent="0.3">
      <c r="A27" s="9" t="s">
        <v>33</v>
      </c>
      <c r="B27" s="9">
        <v>5.01</v>
      </c>
      <c r="C27" s="9">
        <v>0.05</v>
      </c>
      <c r="D27" s="9">
        <v>50</v>
      </c>
      <c r="E27" s="8">
        <v>1.8486791600198174</v>
      </c>
      <c r="F27">
        <f t="shared" si="0"/>
        <v>0.61447141653716197</v>
      </c>
      <c r="G27">
        <f t="shared" si="1"/>
        <v>0.48055210419141903</v>
      </c>
    </row>
    <row r="28" spans="1:7" x14ac:dyDescent="0.3">
      <c r="A28" s="9" t="s">
        <v>34</v>
      </c>
      <c r="B28" s="9">
        <v>5.01</v>
      </c>
      <c r="C28" s="9">
        <v>0.05</v>
      </c>
      <c r="D28" s="9">
        <v>50</v>
      </c>
      <c r="E28" s="8">
        <v>2.792946355167663</v>
      </c>
      <c r="F28">
        <f t="shared" si="0"/>
        <v>1.0270970798926786</v>
      </c>
      <c r="G28">
        <f t="shared" si="1"/>
        <v>0.47112827988854628</v>
      </c>
    </row>
    <row r="29" spans="1:7" x14ac:dyDescent="0.3">
      <c r="A29" s="9" t="s">
        <v>35</v>
      </c>
      <c r="B29" s="9">
        <v>5.05</v>
      </c>
      <c r="C29" s="9">
        <v>0.05</v>
      </c>
      <c r="D29" s="9">
        <v>50</v>
      </c>
      <c r="E29" s="8">
        <v>2.9774583358287363</v>
      </c>
      <c r="F29">
        <f t="shared" si="0"/>
        <v>1.0910700291447926</v>
      </c>
      <c r="G29">
        <f t="shared" si="1"/>
        <v>0.46556971944724024</v>
      </c>
    </row>
    <row r="30" spans="1:7" x14ac:dyDescent="0.3">
      <c r="A30" s="9" t="s">
        <v>36</v>
      </c>
      <c r="B30" s="9">
        <v>5.0599999999999996</v>
      </c>
      <c r="C30" s="9">
        <v>0.05</v>
      </c>
      <c r="D30" s="9">
        <v>50</v>
      </c>
      <c r="E30" s="8">
        <v>8.0786719188113523</v>
      </c>
      <c r="F30">
        <f t="shared" si="0"/>
        <v>2.0892274925396097</v>
      </c>
      <c r="G30">
        <f t="shared" si="1"/>
        <v>0.41424237234376143</v>
      </c>
    </row>
    <row r="31" spans="1:7" x14ac:dyDescent="0.3">
      <c r="A31" s="9" t="s">
        <v>40</v>
      </c>
      <c r="B31" s="9">
        <v>5.03</v>
      </c>
      <c r="C31" s="9">
        <v>0.05</v>
      </c>
      <c r="D31" s="9">
        <v>50</v>
      </c>
      <c r="E31" s="8">
        <v>11.399887570710671</v>
      </c>
      <c r="F31">
        <f t="shared" si="0"/>
        <v>2.4336034931334556</v>
      </c>
      <c r="G31">
        <f t="shared" si="1"/>
        <v>0.38369893070864142</v>
      </c>
    </row>
    <row r="32" spans="1:7" x14ac:dyDescent="0.3">
      <c r="A32" s="9" t="s">
        <v>41</v>
      </c>
      <c r="B32" s="9">
        <v>5</v>
      </c>
      <c r="C32" s="9">
        <v>0.05</v>
      </c>
      <c r="D32" s="9">
        <v>50</v>
      </c>
      <c r="E32" s="8">
        <v>23.425727251444158</v>
      </c>
      <c r="F32">
        <f t="shared" si="0"/>
        <v>3.1538348735953625</v>
      </c>
      <c r="G32">
        <f t="shared" si="1"/>
        <v>0.26574272748555844</v>
      </c>
    </row>
    <row r="33" spans="1:7" x14ac:dyDescent="0.3">
      <c r="A33" s="9" t="s">
        <v>37</v>
      </c>
      <c r="B33" s="9">
        <v>5.0199999999999996</v>
      </c>
      <c r="C33" s="9">
        <v>0.05</v>
      </c>
      <c r="D33" s="9">
        <v>50</v>
      </c>
      <c r="E33" s="8">
        <v>6.9010513363568542</v>
      </c>
      <c r="F33">
        <f t="shared" si="0"/>
        <v>1.9316737675844016</v>
      </c>
      <c r="G33">
        <f t="shared" si="1"/>
        <v>0.4292723970482385</v>
      </c>
    </row>
    <row r="34" spans="1:7" x14ac:dyDescent="0.3">
      <c r="A34" s="9" t="s">
        <v>42</v>
      </c>
      <c r="B34" s="9">
        <v>5.03</v>
      </c>
      <c r="C34" s="9">
        <v>0.05</v>
      </c>
      <c r="D34" s="9">
        <v>50</v>
      </c>
      <c r="E34" s="8">
        <v>6.928185451159953</v>
      </c>
      <c r="F34">
        <f t="shared" si="0"/>
        <v>1.9355979392563647</v>
      </c>
      <c r="G34">
        <f t="shared" si="1"/>
        <v>0.42814924998846965</v>
      </c>
    </row>
    <row r="35" spans="1:7" x14ac:dyDescent="0.3">
      <c r="A35" s="9" t="s">
        <v>43</v>
      </c>
      <c r="B35" s="9">
        <v>5.01</v>
      </c>
      <c r="C35" s="9">
        <v>0.05</v>
      </c>
      <c r="D35" s="9">
        <v>50</v>
      </c>
      <c r="E35" s="8">
        <v>7.8236112396622222</v>
      </c>
      <c r="F35">
        <f t="shared" si="0"/>
        <v>2.0571462433157861</v>
      </c>
      <c r="G35">
        <f t="shared" si="1"/>
        <v>0.4209220435163451</v>
      </c>
    </row>
    <row r="36" spans="1:7" x14ac:dyDescent="0.3">
      <c r="A36" s="9" t="s">
        <v>38</v>
      </c>
      <c r="B36" s="9">
        <v>5.03</v>
      </c>
      <c r="C36" s="9">
        <v>0.05</v>
      </c>
      <c r="D36" s="9">
        <v>50</v>
      </c>
      <c r="E36" s="8">
        <v>14.297811031681645</v>
      </c>
      <c r="F36">
        <f t="shared" si="0"/>
        <v>2.6601064508411554</v>
      </c>
      <c r="G36">
        <f t="shared" si="1"/>
        <v>0.35489253447632557</v>
      </c>
    </row>
    <row r="37" spans="1:7" x14ac:dyDescent="0.3">
      <c r="A37" s="9" t="s">
        <v>44</v>
      </c>
      <c r="B37" s="9">
        <v>5.0199999999999996</v>
      </c>
      <c r="C37" s="9">
        <v>0.05</v>
      </c>
      <c r="D37" s="9">
        <v>50</v>
      </c>
      <c r="E37" s="8">
        <v>15.524273020781722</v>
      </c>
      <c r="F37">
        <f t="shared" si="0"/>
        <v>2.742404800364489</v>
      </c>
      <c r="G37">
        <f t="shared" si="1"/>
        <v>0.34338373485277174</v>
      </c>
    </row>
    <row r="38" spans="1:7" x14ac:dyDescent="0.3">
      <c r="A38" s="9" t="s">
        <v>45</v>
      </c>
      <c r="B38" s="9">
        <v>5.05</v>
      </c>
      <c r="C38" s="9">
        <v>0.05</v>
      </c>
      <c r="D38" s="9">
        <v>50</v>
      </c>
      <c r="E38" s="8">
        <v>16.783295947645517</v>
      </c>
      <c r="F38">
        <f t="shared" si="0"/>
        <v>2.8203841029455505</v>
      </c>
      <c r="G38">
        <f t="shared" si="1"/>
        <v>0.32887825794410386</v>
      </c>
    </row>
    <row r="39" spans="1:7" x14ac:dyDescent="0.3">
      <c r="A39" s="9" t="s">
        <v>39</v>
      </c>
      <c r="B39" s="9">
        <v>0</v>
      </c>
      <c r="C39" s="9">
        <v>0.05</v>
      </c>
      <c r="D39" s="9">
        <v>50</v>
      </c>
      <c r="E39" s="8">
        <v>52.714290769909233</v>
      </c>
      <c r="F39">
        <f t="shared" si="0"/>
        <v>3.9648865908913464</v>
      </c>
    </row>
    <row r="40" spans="1:7" x14ac:dyDescent="0.3">
      <c r="A40" s="9" t="s">
        <v>46</v>
      </c>
      <c r="B40" s="9">
        <v>0</v>
      </c>
      <c r="C40" s="9">
        <v>0.05</v>
      </c>
      <c r="D40" s="9">
        <v>50</v>
      </c>
      <c r="E40" s="8">
        <v>50.603256638228139</v>
      </c>
      <c r="F40">
        <f t="shared" si="0"/>
        <v>3.924015934661667</v>
      </c>
    </row>
    <row r="41" spans="1:7" x14ac:dyDescent="0.3">
      <c r="A41" s="9" t="s">
        <v>47</v>
      </c>
      <c r="B41" s="9">
        <v>0</v>
      </c>
      <c r="C41" s="9">
        <v>0.05</v>
      </c>
      <c r="D41" s="9">
        <v>50</v>
      </c>
      <c r="E41" s="8">
        <v>78.485058582461946</v>
      </c>
      <c r="F41">
        <f t="shared" si="0"/>
        <v>4.3629082701429196</v>
      </c>
    </row>
    <row r="43" spans="1:7" x14ac:dyDescent="0.3">
      <c r="C43" s="4" t="s">
        <v>56</v>
      </c>
      <c r="D43" s="4" t="s">
        <v>55</v>
      </c>
    </row>
    <row r="44" spans="1:7" x14ac:dyDescent="0.3">
      <c r="B44" s="4" t="s">
        <v>132</v>
      </c>
      <c r="C44" s="4"/>
      <c r="D44" s="4" t="s">
        <v>147</v>
      </c>
      <c r="E44" s="4" t="s">
        <v>148</v>
      </c>
    </row>
    <row r="45" spans="1:7" x14ac:dyDescent="0.3">
      <c r="A45" s="4" t="s">
        <v>63</v>
      </c>
      <c r="B45">
        <f>RSQ(G18:G20,F18:F20)</f>
        <v>0.9999999502652912</v>
      </c>
      <c r="C45">
        <f>INTERCEPT(G18:G20,F18:F20)</f>
        <v>1.3106696731673724</v>
      </c>
      <c r="D45">
        <f>SLOPE(G18:G20,F18:F20)</f>
        <v>-0.32802366876217259</v>
      </c>
      <c r="E45">
        <f>EXP(C45/D45)</f>
        <v>1.8395378846621548E-2</v>
      </c>
    </row>
    <row r="46" spans="1:7" x14ac:dyDescent="0.3">
      <c r="A46" s="4" t="s">
        <v>64</v>
      </c>
      <c r="B46">
        <f>RSQ(G21:G23,F21:F23)</f>
        <v>0.99999913067707968</v>
      </c>
      <c r="C46">
        <f>INTERCEPT(G21:G23,F21:F23)</f>
        <v>1.8013978365849628</v>
      </c>
      <c r="D46">
        <f>SLOPE(G21:G23,F21:F23)</f>
        <v>-0.46331509208892691</v>
      </c>
      <c r="E46">
        <f t="shared" ref="E46:E51" si="2">EXP(C46/D46)</f>
        <v>2.0485006078745968E-2</v>
      </c>
    </row>
    <row r="47" spans="1:7" x14ac:dyDescent="0.3">
      <c r="A47" s="4" t="s">
        <v>65</v>
      </c>
      <c r="B47">
        <f>RSQ(G24:G26,F24:F26)</f>
        <v>0.98702657758517787</v>
      </c>
      <c r="C47">
        <f>INTERCEPT(G24:G26,F24:F26)</f>
        <v>0.62734073243420418</v>
      </c>
      <c r="D47">
        <f>SLOPE(G24:G26,F24:F26)</f>
        <v>-0.10924004011166658</v>
      </c>
      <c r="E47">
        <f t="shared" si="2"/>
        <v>3.2058666712830534E-3</v>
      </c>
    </row>
    <row r="48" spans="1:7" x14ac:dyDescent="0.3">
      <c r="A48" s="4" t="s">
        <v>66</v>
      </c>
      <c r="B48">
        <f>RSQ(G27:G29,F27:F29)</f>
        <v>0.93794095135414424</v>
      </c>
      <c r="C48">
        <f>INTERCEPT(G27:G29,F27:F29)</f>
        <v>0.49824513659891606</v>
      </c>
      <c r="D48">
        <f>SLOPE(G27:G29,F27:F29)</f>
        <v>-2.8355490689442181E-2</v>
      </c>
      <c r="E48">
        <f t="shared" si="2"/>
        <v>2.3380085580046004E-8</v>
      </c>
    </row>
    <row r="49" spans="1:5" x14ac:dyDescent="0.3">
      <c r="A49" s="4" t="s">
        <v>67</v>
      </c>
      <c r="B49">
        <f>RSQ(G30:G32,F30:F32)</f>
        <v>0.98407580793081251</v>
      </c>
      <c r="C49">
        <f>INTERCEPT(G30:G32,F30:F32)</f>
        <v>0.72099612821671566</v>
      </c>
      <c r="D49">
        <f>SLOPE(G30:G32,F30:F32)</f>
        <v>-0.14320075593559145</v>
      </c>
      <c r="E49">
        <f t="shared" si="2"/>
        <v>6.5070922268325527E-3</v>
      </c>
    </row>
    <row r="50" spans="1:5" x14ac:dyDescent="0.3">
      <c r="A50" s="4" t="s">
        <v>68</v>
      </c>
      <c r="B50">
        <f>RSQ(G33:G35,F33:F35)</f>
        <v>0.99067248804250385</v>
      </c>
      <c r="C50">
        <f>INTERCEPT(G33:G35,F33:F35)</f>
        <v>0.55098264726743784</v>
      </c>
      <c r="D50">
        <f>SLOPE(G33:G35,F33:F35)</f>
        <v>-6.3230557735947934E-2</v>
      </c>
      <c r="E50">
        <f t="shared" si="2"/>
        <v>1.6429176869519694E-4</v>
      </c>
    </row>
    <row r="51" spans="1:5" x14ac:dyDescent="0.3">
      <c r="A51" s="4" t="s">
        <v>69</v>
      </c>
      <c r="B51">
        <f>RSQ(G36:G38,F36:F38)</f>
        <v>0.99329660661580033</v>
      </c>
      <c r="C51">
        <f>INTERCEPT(G36:G38,F36:F38)</f>
        <v>0.78669636410150012</v>
      </c>
      <c r="D51">
        <f>SLOPE(G36:G38,F36:F38)</f>
        <v>-0.16210039257746225</v>
      </c>
      <c r="E51">
        <f t="shared" si="2"/>
        <v>7.8038126160525556E-3</v>
      </c>
    </row>
  </sheetData>
  <mergeCells count="2">
    <mergeCell ref="A1:I1"/>
    <mergeCell ref="A2:I14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39F7E3-F04C-4C9C-A0B7-F081FDD39EAF}">
  <dimension ref="A1:I51"/>
  <sheetViews>
    <sheetView topLeftCell="A24" zoomScale="85" zoomScaleNormal="85" workbookViewId="0">
      <selection activeCell="D59" sqref="D59"/>
    </sheetView>
  </sheetViews>
  <sheetFormatPr defaultRowHeight="14.4" x14ac:dyDescent="0.3"/>
  <sheetData>
    <row r="1" spans="1:9" ht="15.6" x14ac:dyDescent="0.3">
      <c r="A1" s="78" t="s">
        <v>123</v>
      </c>
      <c r="B1" s="79"/>
      <c r="C1" s="79"/>
      <c r="D1" s="79"/>
      <c r="E1" s="79"/>
      <c r="F1" s="79"/>
      <c r="G1" s="79"/>
      <c r="H1" s="79"/>
      <c r="I1" s="80"/>
    </row>
    <row r="2" spans="1:9" x14ac:dyDescent="0.3">
      <c r="A2" s="65" t="e" vm="3">
        <v>#VALUE!</v>
      </c>
      <c r="B2" s="66"/>
      <c r="C2" s="66"/>
      <c r="D2" s="66"/>
      <c r="E2" s="66"/>
      <c r="F2" s="66"/>
      <c r="G2" s="66"/>
      <c r="H2" s="66"/>
      <c r="I2" s="67"/>
    </row>
    <row r="3" spans="1:9" x14ac:dyDescent="0.3">
      <c r="A3" s="68"/>
      <c r="B3" s="69"/>
      <c r="C3" s="69"/>
      <c r="D3" s="69"/>
      <c r="E3" s="69"/>
      <c r="F3" s="69"/>
      <c r="G3" s="69"/>
      <c r="H3" s="69"/>
      <c r="I3" s="70"/>
    </row>
    <row r="4" spans="1:9" x14ac:dyDescent="0.3">
      <c r="A4" s="68"/>
      <c r="B4" s="69"/>
      <c r="C4" s="69"/>
      <c r="D4" s="69"/>
      <c r="E4" s="69"/>
      <c r="F4" s="69"/>
      <c r="G4" s="69"/>
      <c r="H4" s="69"/>
      <c r="I4" s="70"/>
    </row>
    <row r="5" spans="1:9" x14ac:dyDescent="0.3">
      <c r="A5" s="68"/>
      <c r="B5" s="69"/>
      <c r="C5" s="69"/>
      <c r="D5" s="69"/>
      <c r="E5" s="69"/>
      <c r="F5" s="69"/>
      <c r="G5" s="69"/>
      <c r="H5" s="69"/>
      <c r="I5" s="70"/>
    </row>
    <row r="6" spans="1:9" x14ac:dyDescent="0.3">
      <c r="A6" s="68"/>
      <c r="B6" s="69"/>
      <c r="C6" s="69"/>
      <c r="D6" s="69"/>
      <c r="E6" s="69"/>
      <c r="F6" s="69"/>
      <c r="G6" s="69"/>
      <c r="H6" s="69"/>
      <c r="I6" s="70"/>
    </row>
    <row r="7" spans="1:9" x14ac:dyDescent="0.3">
      <c r="A7" s="68"/>
      <c r="B7" s="69"/>
      <c r="C7" s="69"/>
      <c r="D7" s="69"/>
      <c r="E7" s="69"/>
      <c r="F7" s="69"/>
      <c r="G7" s="69"/>
      <c r="H7" s="69"/>
      <c r="I7" s="70"/>
    </row>
    <row r="8" spans="1:9" x14ac:dyDescent="0.3">
      <c r="A8" s="68"/>
      <c r="B8" s="69"/>
      <c r="C8" s="69"/>
      <c r="D8" s="69"/>
      <c r="E8" s="69"/>
      <c r="F8" s="69"/>
      <c r="G8" s="69"/>
      <c r="H8" s="69"/>
      <c r="I8" s="70"/>
    </row>
    <row r="9" spans="1:9" x14ac:dyDescent="0.3">
      <c r="A9" s="68"/>
      <c r="B9" s="69"/>
      <c r="C9" s="69"/>
      <c r="D9" s="69"/>
      <c r="E9" s="69"/>
      <c r="F9" s="69"/>
      <c r="G9" s="69"/>
      <c r="H9" s="69"/>
      <c r="I9" s="70"/>
    </row>
    <row r="10" spans="1:9" x14ac:dyDescent="0.3">
      <c r="A10" s="68"/>
      <c r="B10" s="69"/>
      <c r="C10" s="69"/>
      <c r="D10" s="69"/>
      <c r="E10" s="69"/>
      <c r="F10" s="69"/>
      <c r="G10" s="69"/>
      <c r="H10" s="69"/>
      <c r="I10" s="70"/>
    </row>
    <row r="11" spans="1:9" x14ac:dyDescent="0.3">
      <c r="A11" s="68"/>
      <c r="B11" s="69"/>
      <c r="C11" s="69"/>
      <c r="D11" s="69"/>
      <c r="E11" s="69"/>
      <c r="F11" s="69"/>
      <c r="G11" s="69"/>
      <c r="H11" s="69"/>
      <c r="I11" s="70"/>
    </row>
    <row r="12" spans="1:9" x14ac:dyDescent="0.3">
      <c r="A12" s="68"/>
      <c r="B12" s="69"/>
      <c r="C12" s="69"/>
      <c r="D12" s="69"/>
      <c r="E12" s="69"/>
      <c r="F12" s="69"/>
      <c r="G12" s="69"/>
      <c r="H12" s="69"/>
      <c r="I12" s="70"/>
    </row>
    <row r="13" spans="1:9" x14ac:dyDescent="0.3">
      <c r="A13" s="68"/>
      <c r="B13" s="69"/>
      <c r="C13" s="69"/>
      <c r="D13" s="69"/>
      <c r="E13" s="69"/>
      <c r="F13" s="69"/>
      <c r="G13" s="69"/>
      <c r="H13" s="69"/>
      <c r="I13" s="70"/>
    </row>
    <row r="14" spans="1:9" x14ac:dyDescent="0.3">
      <c r="A14" s="71"/>
      <c r="B14" s="72"/>
      <c r="C14" s="72"/>
      <c r="D14" s="72"/>
      <c r="E14" s="72"/>
      <c r="F14" s="72"/>
      <c r="G14" s="72"/>
      <c r="H14" s="72"/>
      <c r="I14" s="73"/>
    </row>
    <row r="16" spans="1:9" ht="43.2" x14ac:dyDescent="0.3">
      <c r="A16" s="11" t="s">
        <v>127</v>
      </c>
      <c r="B16" s="11" t="s">
        <v>130</v>
      </c>
      <c r="C16" s="11" t="s">
        <v>51</v>
      </c>
      <c r="D16" s="11" t="s">
        <v>149</v>
      </c>
      <c r="E16" s="11" t="s">
        <v>75</v>
      </c>
      <c r="F16" s="11" t="s">
        <v>125</v>
      </c>
      <c r="G16" s="11" t="s">
        <v>126</v>
      </c>
    </row>
    <row r="17" spans="1:7" x14ac:dyDescent="0.3">
      <c r="A17" s="9" t="s">
        <v>15</v>
      </c>
      <c r="B17" s="9">
        <v>5.01</v>
      </c>
      <c r="C17" s="9">
        <v>0.05</v>
      </c>
      <c r="D17">
        <v>50</v>
      </c>
      <c r="E17" s="8">
        <v>20.35261865985759</v>
      </c>
      <c r="F17">
        <f>LN(E17)</f>
        <v>3.0132095846839877</v>
      </c>
      <c r="G17">
        <f>((D17-E17)*C17)/B17</f>
        <v>0.29588204930281847</v>
      </c>
    </row>
    <row r="18" spans="1:7" x14ac:dyDescent="0.3">
      <c r="A18" s="9" t="s">
        <v>16</v>
      </c>
      <c r="B18" s="9">
        <v>5</v>
      </c>
      <c r="C18" s="9">
        <v>0.05</v>
      </c>
      <c r="D18">
        <v>50</v>
      </c>
      <c r="E18" s="8">
        <v>20.116322529105481</v>
      </c>
      <c r="F18">
        <f t="shared" ref="F18:F40" si="0">LN(E18)</f>
        <v>3.0015315516423828</v>
      </c>
      <c r="G18">
        <f t="shared" ref="G18:G37" si="1">((D18-E18)*C18)/B18</f>
        <v>0.29883677470894521</v>
      </c>
    </row>
    <row r="19" spans="1:7" x14ac:dyDescent="0.3">
      <c r="A19" s="9" t="s">
        <v>17</v>
      </c>
      <c r="B19" s="9">
        <v>5.01</v>
      </c>
      <c r="C19" s="9">
        <v>0.05</v>
      </c>
      <c r="D19">
        <v>50</v>
      </c>
      <c r="E19" s="8">
        <v>24.231813473037999</v>
      </c>
      <c r="F19">
        <f t="shared" si="0"/>
        <v>3.187666376148182</v>
      </c>
      <c r="G19">
        <f t="shared" si="1"/>
        <v>0.25716753020920163</v>
      </c>
    </row>
    <row r="20" spans="1:7" x14ac:dyDescent="0.3">
      <c r="A20" s="9" t="s">
        <v>27</v>
      </c>
      <c r="B20" s="9">
        <v>5</v>
      </c>
      <c r="C20" s="9">
        <v>0.05</v>
      </c>
      <c r="D20">
        <v>50</v>
      </c>
      <c r="E20" s="8">
        <v>23.818295244221812</v>
      </c>
      <c r="F20">
        <f t="shared" si="0"/>
        <v>3.1704539931133717</v>
      </c>
      <c r="G20">
        <f t="shared" si="1"/>
        <v>0.2618170475577819</v>
      </c>
    </row>
    <row r="21" spans="1:7" x14ac:dyDescent="0.3">
      <c r="A21" s="9" t="s">
        <v>28</v>
      </c>
      <c r="B21" s="9">
        <v>5.0199999999999996</v>
      </c>
      <c r="C21" s="9">
        <v>0.05</v>
      </c>
      <c r="D21">
        <v>50</v>
      </c>
      <c r="E21" s="8">
        <v>20.903976298279169</v>
      </c>
      <c r="F21">
        <f t="shared" si="0"/>
        <v>3.0399393943810424</v>
      </c>
      <c r="G21">
        <f t="shared" si="1"/>
        <v>0.28980103288566567</v>
      </c>
    </row>
    <row r="22" spans="1:7" x14ac:dyDescent="0.3">
      <c r="A22" s="9" t="s">
        <v>29</v>
      </c>
      <c r="B22" s="9">
        <v>5.0199999999999996</v>
      </c>
      <c r="C22" s="9">
        <v>0.05</v>
      </c>
      <c r="D22">
        <v>50</v>
      </c>
      <c r="E22" s="8">
        <v>22.715579967378652</v>
      </c>
      <c r="F22">
        <f t="shared" si="0"/>
        <v>3.1230510312375523</v>
      </c>
      <c r="G22">
        <f t="shared" si="1"/>
        <v>0.2717571716396549</v>
      </c>
    </row>
    <row r="23" spans="1:7" x14ac:dyDescent="0.3">
      <c r="A23" s="9" t="s">
        <v>30</v>
      </c>
      <c r="B23" s="9">
        <v>5</v>
      </c>
      <c r="C23" s="9">
        <v>0.05</v>
      </c>
      <c r="D23">
        <v>50</v>
      </c>
      <c r="E23" s="8">
        <v>2.2562733130921253</v>
      </c>
      <c r="F23">
        <f t="shared" si="0"/>
        <v>0.81371447571808242</v>
      </c>
      <c r="G23">
        <f t="shared" si="1"/>
        <v>0.47743726686907878</v>
      </c>
    </row>
    <row r="24" spans="1:7" x14ac:dyDescent="0.3">
      <c r="A24" s="32" t="s">
        <v>31</v>
      </c>
      <c r="B24" s="32">
        <v>5.04</v>
      </c>
      <c r="C24" s="32">
        <v>0.05</v>
      </c>
      <c r="D24">
        <v>50</v>
      </c>
      <c r="E24" s="8">
        <v>1.837832248218604</v>
      </c>
      <c r="F24">
        <f t="shared" si="0"/>
        <v>0.60858675111679172</v>
      </c>
      <c r="G24">
        <f t="shared" si="1"/>
        <v>0.4777992832517996</v>
      </c>
    </row>
    <row r="25" spans="1:7" x14ac:dyDescent="0.3">
      <c r="A25" s="9" t="s">
        <v>32</v>
      </c>
      <c r="B25" s="9">
        <v>4.9800000000000004</v>
      </c>
      <c r="C25" s="9">
        <v>0.05</v>
      </c>
      <c r="D25">
        <v>50</v>
      </c>
      <c r="E25" s="8">
        <v>2.2267362967481121</v>
      </c>
      <c r="F25">
        <f t="shared" si="0"/>
        <v>0.80053696938617847</v>
      </c>
      <c r="G25">
        <f t="shared" si="1"/>
        <v>0.47965124200052089</v>
      </c>
    </row>
    <row r="26" spans="1:7" x14ac:dyDescent="0.3">
      <c r="A26" s="9" t="s">
        <v>33</v>
      </c>
      <c r="B26" s="9">
        <v>5.03</v>
      </c>
      <c r="C26" s="9">
        <v>0.05</v>
      </c>
      <c r="D26">
        <v>50</v>
      </c>
      <c r="E26" s="8">
        <v>6.1650051426165486</v>
      </c>
      <c r="F26">
        <f t="shared" si="0"/>
        <v>1.818888970779228</v>
      </c>
      <c r="G26">
        <f t="shared" si="1"/>
        <v>0.43573553536166448</v>
      </c>
    </row>
    <row r="27" spans="1:7" x14ac:dyDescent="0.3">
      <c r="A27" s="9" t="s">
        <v>34</v>
      </c>
      <c r="B27" s="9">
        <v>5.03</v>
      </c>
      <c r="C27" s="9">
        <v>0.05</v>
      </c>
      <c r="D27">
        <v>50</v>
      </c>
      <c r="E27" s="8">
        <v>6.5194493387447068</v>
      </c>
      <c r="F27">
        <f t="shared" si="0"/>
        <v>1.874789915124103</v>
      </c>
      <c r="G27">
        <f t="shared" si="1"/>
        <v>0.43221223321327329</v>
      </c>
    </row>
    <row r="28" spans="1:7" x14ac:dyDescent="0.3">
      <c r="A28" s="9" t="s">
        <v>35</v>
      </c>
      <c r="B28" s="9">
        <v>4.95</v>
      </c>
      <c r="C28" s="9">
        <v>0.05</v>
      </c>
      <c r="D28">
        <v>50</v>
      </c>
      <c r="E28" s="8">
        <v>4.2057163917970009</v>
      </c>
      <c r="F28">
        <f t="shared" si="0"/>
        <v>1.4364446455721867</v>
      </c>
      <c r="G28">
        <f t="shared" si="1"/>
        <v>0.46256852129497988</v>
      </c>
    </row>
    <row r="29" spans="1:7" x14ac:dyDescent="0.3">
      <c r="A29" s="9" t="s">
        <v>36</v>
      </c>
      <c r="B29" s="9">
        <v>5.0599999999999996</v>
      </c>
      <c r="C29" s="9">
        <v>0.05</v>
      </c>
      <c r="D29">
        <v>50</v>
      </c>
      <c r="E29" s="8">
        <v>5.4265797340162161</v>
      </c>
      <c r="F29">
        <f t="shared" si="0"/>
        <v>1.6913090522477892</v>
      </c>
      <c r="G29">
        <f t="shared" si="1"/>
        <v>0.44044881685754728</v>
      </c>
    </row>
    <row r="30" spans="1:7" x14ac:dyDescent="0.3">
      <c r="A30" s="9" t="s">
        <v>40</v>
      </c>
      <c r="B30" s="9">
        <v>4.93</v>
      </c>
      <c r="C30" s="9">
        <v>0.05</v>
      </c>
      <c r="D30">
        <v>50</v>
      </c>
      <c r="E30" s="8">
        <v>4.9736788167413462</v>
      </c>
      <c r="F30">
        <f t="shared" si="0"/>
        <v>1.6041597708679658</v>
      </c>
      <c r="G30">
        <f t="shared" si="1"/>
        <v>0.45665640145292757</v>
      </c>
    </row>
    <row r="31" spans="1:7" x14ac:dyDescent="0.3">
      <c r="A31" s="9" t="s">
        <v>41</v>
      </c>
      <c r="B31" s="9">
        <v>5.01</v>
      </c>
      <c r="C31" s="9">
        <v>0.05</v>
      </c>
      <c r="D31">
        <v>50</v>
      </c>
      <c r="E31" s="8">
        <v>3.3589885899352878</v>
      </c>
      <c r="F31">
        <f t="shared" si="0"/>
        <v>1.211639913760822</v>
      </c>
      <c r="G31">
        <f t="shared" si="1"/>
        <v>0.46547915578906907</v>
      </c>
    </row>
    <row r="32" spans="1:7" x14ac:dyDescent="0.3">
      <c r="A32" s="9" t="s">
        <v>37</v>
      </c>
      <c r="B32" s="9">
        <v>5</v>
      </c>
      <c r="C32" s="9">
        <v>0.05</v>
      </c>
      <c r="D32">
        <v>50</v>
      </c>
      <c r="E32" s="8">
        <v>8.3408986799588583</v>
      </c>
      <c r="F32">
        <f t="shared" si="0"/>
        <v>2.1211709659562108</v>
      </c>
      <c r="G32">
        <f t="shared" si="1"/>
        <v>0.41659101320041148</v>
      </c>
    </row>
    <row r="33" spans="1:7" x14ac:dyDescent="0.3">
      <c r="A33" s="9" t="s">
        <v>42</v>
      </c>
      <c r="B33" s="9">
        <v>5</v>
      </c>
      <c r="C33" s="9">
        <v>0.05</v>
      </c>
      <c r="D33">
        <v>50</v>
      </c>
      <c r="E33" s="8">
        <v>10.024508611567615</v>
      </c>
      <c r="F33">
        <f t="shared" si="0"/>
        <v>2.3050329556888123</v>
      </c>
      <c r="G33">
        <f t="shared" si="1"/>
        <v>0.39975491388432388</v>
      </c>
    </row>
    <row r="34" spans="1:7" x14ac:dyDescent="0.3">
      <c r="A34" s="9" t="s">
        <v>43</v>
      </c>
      <c r="B34" s="9">
        <v>5.0199999999999996</v>
      </c>
      <c r="C34" s="9">
        <v>0.05</v>
      </c>
      <c r="D34">
        <v>50</v>
      </c>
      <c r="E34" s="8">
        <v>9.8275951692741934</v>
      </c>
      <c r="F34">
        <f t="shared" si="0"/>
        <v>2.2851942622429942</v>
      </c>
      <c r="G34">
        <f t="shared" si="1"/>
        <v>0.40012355409089456</v>
      </c>
    </row>
    <row r="35" spans="1:7" x14ac:dyDescent="0.3">
      <c r="A35" s="9" t="s">
        <v>38</v>
      </c>
      <c r="B35" s="9">
        <v>5.05</v>
      </c>
      <c r="C35" s="9">
        <v>0.05</v>
      </c>
      <c r="D35">
        <v>50</v>
      </c>
      <c r="E35" s="8">
        <v>4.7669197023332535</v>
      </c>
      <c r="F35">
        <f t="shared" si="0"/>
        <v>1.5617003315944022</v>
      </c>
      <c r="G35">
        <f t="shared" si="1"/>
        <v>0.44785228017491829</v>
      </c>
    </row>
    <row r="36" spans="1:7" x14ac:dyDescent="0.3">
      <c r="A36" s="9" t="s">
        <v>44</v>
      </c>
      <c r="B36" s="9">
        <v>5.0599999999999996</v>
      </c>
      <c r="C36" s="9">
        <v>0.05</v>
      </c>
      <c r="D36">
        <v>50</v>
      </c>
      <c r="E36" s="8">
        <v>5.9385546839791123</v>
      </c>
      <c r="F36">
        <f t="shared" si="0"/>
        <v>1.7814657845721997</v>
      </c>
      <c r="G36">
        <f t="shared" si="1"/>
        <v>0.43538977585000882</v>
      </c>
    </row>
    <row r="37" spans="1:7" x14ac:dyDescent="0.3">
      <c r="A37" s="9" t="s">
        <v>45</v>
      </c>
      <c r="B37" s="9">
        <v>5</v>
      </c>
      <c r="C37" s="9">
        <v>0.05</v>
      </c>
      <c r="D37">
        <v>50</v>
      </c>
      <c r="E37" s="8">
        <v>5.5545734715069406</v>
      </c>
      <c r="F37">
        <f t="shared" si="0"/>
        <v>1.7146216373366112</v>
      </c>
      <c r="G37">
        <f t="shared" si="1"/>
        <v>0.44445426528493065</v>
      </c>
    </row>
    <row r="38" spans="1:7" x14ac:dyDescent="0.3">
      <c r="A38" s="9" t="s">
        <v>39</v>
      </c>
      <c r="B38" s="9">
        <v>0</v>
      </c>
      <c r="C38" s="9">
        <v>0.05</v>
      </c>
      <c r="D38">
        <v>50</v>
      </c>
      <c r="E38" s="8">
        <v>45.685533010906305</v>
      </c>
      <c r="F38">
        <f t="shared" si="0"/>
        <v>3.8217816834703275</v>
      </c>
    </row>
    <row r="39" spans="1:7" x14ac:dyDescent="0.3">
      <c r="A39" s="9" t="s">
        <v>46</v>
      </c>
      <c r="B39" s="9">
        <v>0</v>
      </c>
      <c r="C39" s="9">
        <v>0.05</v>
      </c>
      <c r="D39">
        <v>50</v>
      </c>
      <c r="E39" s="8">
        <v>47.39867995885907</v>
      </c>
      <c r="F39">
        <f t="shared" si="0"/>
        <v>3.8585943793440229</v>
      </c>
    </row>
    <row r="40" spans="1:7" x14ac:dyDescent="0.3">
      <c r="A40" s="9" t="s">
        <v>47</v>
      </c>
      <c r="B40" s="9">
        <v>0</v>
      </c>
      <c r="C40" s="9">
        <v>0.05</v>
      </c>
      <c r="D40">
        <v>50</v>
      </c>
      <c r="E40" s="8">
        <v>46.020285862805117</v>
      </c>
      <c r="F40">
        <f t="shared" si="0"/>
        <v>3.8290822962959914</v>
      </c>
    </row>
    <row r="43" spans="1:7" x14ac:dyDescent="0.3">
      <c r="C43" s="4" t="s">
        <v>56</v>
      </c>
      <c r="D43" s="4" t="s">
        <v>55</v>
      </c>
    </row>
    <row r="44" spans="1:7" x14ac:dyDescent="0.3">
      <c r="B44" s="4" t="s">
        <v>132</v>
      </c>
      <c r="C44" s="4"/>
      <c r="D44" s="4" t="s">
        <v>147</v>
      </c>
      <c r="E44" s="4" t="s">
        <v>148</v>
      </c>
    </row>
    <row r="45" spans="1:7" x14ac:dyDescent="0.3">
      <c r="A45" s="4" t="s">
        <v>63</v>
      </c>
      <c r="B45">
        <f>RSQ(G18:G20,F18:F20)</f>
        <v>0.99966815442903223</v>
      </c>
      <c r="C45">
        <f>INTERCEPT(G18:G20,F18:F20)</f>
        <v>0.96510558083864417</v>
      </c>
      <c r="D45">
        <f>SLOPE(G18:G20,F18:F20)</f>
        <v>-0.22196289003014164</v>
      </c>
      <c r="E45">
        <f>EXP(C45/D45)</f>
        <v>1.2932014925901554E-2</v>
      </c>
    </row>
    <row r="46" spans="1:7" x14ac:dyDescent="0.3">
      <c r="A46" s="4" t="s">
        <v>64</v>
      </c>
      <c r="B46">
        <f>RSQ(G21:G23,F21:F23)</f>
        <v>0.99773926664643842</v>
      </c>
      <c r="C46">
        <f>INTERCEPT(G21:G23,F21:F23)</f>
        <v>0.54830637310147778</v>
      </c>
      <c r="D46">
        <f>SLOPE(G21:G23,F21:F23)</f>
        <v>-8.6849545233587871E-2</v>
      </c>
      <c r="E46">
        <f t="shared" ref="E46:E51" si="2">EXP(C46/D46)</f>
        <v>1.8120615782511314E-3</v>
      </c>
    </row>
    <row r="47" spans="1:7" x14ac:dyDescent="0.3">
      <c r="A47" s="4" t="s">
        <v>65</v>
      </c>
      <c r="B47">
        <f>RSQ(G24:G26,F24:F26)</f>
        <v>0.96602727209343375</v>
      </c>
      <c r="C47">
        <f>INTERCEPT(G24:G26,F24:F26)</f>
        <v>0.50477692629441373</v>
      </c>
      <c r="D47">
        <f>SLOPE(G24:G26,F24:F26)</f>
        <v>-3.7529195159742818E-2</v>
      </c>
      <c r="E47">
        <f t="shared" si="2"/>
        <v>1.440894420322117E-6</v>
      </c>
    </row>
    <row r="48" spans="1:7" x14ac:dyDescent="0.3">
      <c r="A48" s="4" t="s">
        <v>66</v>
      </c>
      <c r="B48">
        <f>RSQ(G27:G29,F27:F29)</f>
        <v>0.97321251585129021</v>
      </c>
      <c r="C48">
        <f>INTERCEPT(G27:G29,F27:F29)</f>
        <v>0.562385085600139</v>
      </c>
      <c r="D48">
        <f>SLOPE(G27:G29,F27:F29)</f>
        <v>-7.0349348784088397E-2</v>
      </c>
      <c r="E48">
        <f t="shared" si="2"/>
        <v>3.3742201493189251E-4</v>
      </c>
    </row>
    <row r="49" spans="1:5" x14ac:dyDescent="0.3">
      <c r="A49" s="4" t="s">
        <v>67</v>
      </c>
      <c r="B49">
        <f>RSQ(G30:G32,F30:F32)</f>
        <v>0.92646728383917498</v>
      </c>
      <c r="C49">
        <f>INTERCEPT(G30:G32,F30:F32)</f>
        <v>0.53671192240458121</v>
      </c>
      <c r="D49">
        <f>SLOPE(G30:G32,F30:F32)</f>
        <v>-5.4974845098415839E-2</v>
      </c>
      <c r="E49">
        <f t="shared" si="2"/>
        <v>5.7549578288114417E-5</v>
      </c>
    </row>
    <row r="50" spans="1:5" x14ac:dyDescent="0.3">
      <c r="A50" s="4" t="s">
        <v>68</v>
      </c>
      <c r="B50">
        <f>RSQ(G33:G35,F33:F35)</f>
        <v>0.99971917922170639</v>
      </c>
      <c r="C50">
        <f>INTERCEPT(G33:G35,F33:F35)</f>
        <v>0.54982379040575846</v>
      </c>
      <c r="D50">
        <f>SLOPE(G33:G35,F33:F35)</f>
        <v>-6.5303211039616171E-2</v>
      </c>
      <c r="E50">
        <f t="shared" si="2"/>
        <v>2.2051338934436475E-4</v>
      </c>
    </row>
    <row r="51" spans="1:5" x14ac:dyDescent="0.3">
      <c r="A51" s="4" t="s">
        <v>69</v>
      </c>
      <c r="B51">
        <f>RSQ(G36:G38,F36:F38)</f>
        <v>1.0000000000000004</v>
      </c>
      <c r="C51">
        <f>INTERCEPT(G36:G38,F36:F38)</f>
        <v>0.67696781148589524</v>
      </c>
      <c r="D51">
        <f>SLOPE(G36:G38,F36:F38)</f>
        <v>-0.13560632919699817</v>
      </c>
      <c r="E51">
        <f t="shared" si="2"/>
        <v>6.7910142192940341E-3</v>
      </c>
    </row>
  </sheetData>
  <mergeCells count="2">
    <mergeCell ref="A1:I1"/>
    <mergeCell ref="A2:I1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09"/>
  <sheetViews>
    <sheetView tabSelected="1" topLeftCell="D22" zoomScale="55" zoomScaleNormal="55" workbookViewId="0">
      <selection activeCell="AF67" sqref="AF67"/>
    </sheetView>
  </sheetViews>
  <sheetFormatPr defaultColWidth="8.88671875" defaultRowHeight="14.4" x14ac:dyDescent="0.3"/>
  <cols>
    <col min="1" max="1" width="11.109375" style="9" customWidth="1"/>
    <col min="2" max="2" width="18.44140625" style="9" customWidth="1"/>
    <col min="3" max="3" width="13" style="9" customWidth="1"/>
    <col min="4" max="4" width="15.33203125" style="9" customWidth="1"/>
    <col min="5" max="5" width="12.6640625" style="9" customWidth="1"/>
    <col min="6" max="6" width="12.33203125" style="9" customWidth="1"/>
    <col min="7" max="7" width="12" style="9" customWidth="1"/>
    <col min="8" max="8" width="15.33203125" style="9" customWidth="1"/>
    <col min="9" max="9" width="12.88671875" style="9" customWidth="1"/>
    <col min="10" max="10" width="11.33203125" style="9" customWidth="1"/>
    <col min="11" max="11" width="8.88671875" style="9"/>
    <col min="12" max="12" width="14.33203125" style="9" customWidth="1"/>
    <col min="13" max="14" width="11.109375" style="9" customWidth="1"/>
    <col min="15" max="15" width="8.88671875" style="9"/>
    <col min="16" max="16" width="20.88671875" style="9" bestFit="1" customWidth="1"/>
    <col min="17" max="16384" width="8.88671875" style="9"/>
  </cols>
  <sheetData>
    <row r="1" spans="1:14" ht="16.2" thickBot="1" x14ac:dyDescent="0.35">
      <c r="A1" s="47" t="s">
        <v>76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9"/>
    </row>
    <row r="2" spans="1:14" ht="28.8" x14ac:dyDescent="0.3">
      <c r="A2" s="11" t="s">
        <v>0</v>
      </c>
      <c r="B2" s="11" t="s">
        <v>1</v>
      </c>
      <c r="C2" s="11" t="s">
        <v>2</v>
      </c>
      <c r="D2" s="11" t="s">
        <v>51</v>
      </c>
      <c r="E2" s="11" t="s">
        <v>57</v>
      </c>
      <c r="F2" s="11" t="s">
        <v>61</v>
      </c>
      <c r="G2" s="11" t="s">
        <v>58</v>
      </c>
      <c r="H2" s="11" t="s">
        <v>61</v>
      </c>
      <c r="I2" s="11" t="s">
        <v>59</v>
      </c>
      <c r="J2" s="11" t="s">
        <v>61</v>
      </c>
      <c r="K2" s="11" t="s">
        <v>60</v>
      </c>
      <c r="L2" s="11" t="s">
        <v>61</v>
      </c>
    </row>
    <row r="3" spans="1:14" x14ac:dyDescent="0.3">
      <c r="A3" s="9" t="s">
        <v>18</v>
      </c>
      <c r="B3" s="9">
        <v>35.01</v>
      </c>
      <c r="C3" s="9">
        <v>5.01</v>
      </c>
      <c r="D3" s="9">
        <v>0.05</v>
      </c>
      <c r="E3" s="9">
        <f>AVERAGE(167,166.7)*2</f>
        <v>333.7</v>
      </c>
      <c r="F3" s="7">
        <f>(E3-'Calibration Distilled Water'!$B$10)/'Calibration Distilled Water'!$B$9</f>
        <v>17.461648817722992</v>
      </c>
      <c r="G3" s="9">
        <f>356.8*2</f>
        <v>713.6</v>
      </c>
      <c r="H3" s="7">
        <f>(G3-'Calibration Distilled Water'!$B$10)/'Calibration Distilled Water'!$B$9</f>
        <v>38.078149245117629</v>
      </c>
      <c r="I3" s="9">
        <f>370*2</f>
        <v>740</v>
      </c>
      <c r="J3" s="7">
        <f>(I3-'Calibration Distilled Water'!$B$10)/'Calibration Distilled Water'!$B$9</f>
        <v>39.510830506721256</v>
      </c>
      <c r="K3" s="9">
        <f>334.9*2</f>
        <v>669.8</v>
      </c>
      <c r="L3" s="7">
        <f>(K3-'Calibration Distilled Water'!$B$10)/'Calibration Distilled Water'!$B$9</f>
        <v>35.701200788366151</v>
      </c>
    </row>
    <row r="4" spans="1:14" x14ac:dyDescent="0.3">
      <c r="A4" s="9" t="s">
        <v>19</v>
      </c>
      <c r="B4" s="9">
        <v>34.57</v>
      </c>
      <c r="C4" s="9">
        <v>5</v>
      </c>
      <c r="D4" s="9">
        <v>0.05</v>
      </c>
      <c r="E4" s="9">
        <f>416.3*2</f>
        <v>832.6</v>
      </c>
      <c r="F4" s="7">
        <f>(E4-'Calibration Distilled Water'!$B$10)/'Calibration Distilled Water'!$B$9</f>
        <v>44.536068568255196</v>
      </c>
      <c r="G4" s="9">
        <f>381.5*2</f>
        <v>763</v>
      </c>
      <c r="H4" s="7">
        <f>(G4-'Calibration Distilled Water'!$B$10)/'Calibration Distilled Water'!$B$9</f>
        <v>40.758999787663811</v>
      </c>
      <c r="I4" s="9">
        <f>371.3*2</f>
        <v>742.6</v>
      </c>
      <c r="J4" s="7">
        <f>(I4-'Calibration Distilled Water'!$B$10)/'Calibration Distilled Water'!$B$9</f>
        <v>39.65192790369737</v>
      </c>
      <c r="K4" s="9">
        <f>389.3*2</f>
        <v>778.6</v>
      </c>
      <c r="L4" s="7">
        <f>(K4-'Calibration Distilled Water'!$B$10)/'Calibration Distilled Water'!$B$9</f>
        <v>41.605584169520505</v>
      </c>
      <c r="M4" s="9">
        <f>_xlfn.STDEV.S(L3:L5)</f>
        <v>7.4985838523449013</v>
      </c>
    </row>
    <row r="5" spans="1:14" x14ac:dyDescent="0.3">
      <c r="A5" s="9" t="s">
        <v>20</v>
      </c>
      <c r="B5" s="9">
        <v>34.380000000000003</v>
      </c>
      <c r="C5" s="9">
        <v>5.01</v>
      </c>
      <c r="D5" s="9">
        <v>0.05</v>
      </c>
      <c r="E5" s="9">
        <f>287.9*2</f>
        <v>575.79999999999995</v>
      </c>
      <c r="F5" s="7">
        <f>(E5-'Calibration Distilled Water'!$B$10)/'Calibration Distilled Water'!$B$9</f>
        <v>30.599987205383535</v>
      </c>
      <c r="G5" s="9">
        <f>259.7*2</f>
        <v>519.4</v>
      </c>
      <c r="H5" s="7">
        <f>(G5-'Calibration Distilled Water'!$B$10)/'Calibration Distilled Water'!$B$9</f>
        <v>27.539259055593966</v>
      </c>
      <c r="I5" s="9">
        <f>254.8*2</f>
        <v>509.6</v>
      </c>
      <c r="J5" s="7">
        <f>(I5-'Calibration Distilled Water'!$B$10)/'Calibration Distilled Water'!$B$9</f>
        <v>27.007430405453228</v>
      </c>
      <c r="K5" s="9">
        <f>252.1*2</f>
        <v>504.2</v>
      </c>
      <c r="L5" s="7">
        <f>(K5-'Calibration Distilled Water'!$B$10)/'Calibration Distilled Water'!$B$9</f>
        <v>26.714381965579758</v>
      </c>
    </row>
    <row r="6" spans="1:14" x14ac:dyDescent="0.3">
      <c r="A6" s="9" t="s">
        <v>21</v>
      </c>
      <c r="B6" s="9">
        <v>34.950000000000003</v>
      </c>
      <c r="C6" s="9">
        <v>5.05</v>
      </c>
      <c r="D6" s="9">
        <v>0.05</v>
      </c>
      <c r="E6" s="9">
        <f>316.8*2</f>
        <v>633.6</v>
      </c>
      <c r="F6" s="7">
        <f>(E6-'Calibration Distilled Water'!$B$10)/'Calibration Distilled Water'!$B$9</f>
        <v>33.736690876621786</v>
      </c>
      <c r="G6" s="9">
        <f>302.8*2</f>
        <v>605.6</v>
      </c>
      <c r="H6" s="7">
        <f>(G6-'Calibration Distilled Water'!$B$10)/'Calibration Distilled Water'!$B$9</f>
        <v>32.217180447648239</v>
      </c>
      <c r="I6" s="9">
        <f>543.5*2</f>
        <v>1087</v>
      </c>
      <c r="J6" s="7">
        <f>(I6-'Calibration Distilled Water'!$B$10)/'Calibration Distilled Water'!$B$9</f>
        <v>58.341906180071966</v>
      </c>
      <c r="K6" s="9">
        <f>293.7*2</f>
        <v>587.4</v>
      </c>
      <c r="L6" s="7">
        <f>(K6-'Calibration Distilled Water'!$B$10)/'Calibration Distilled Water'!$B$9</f>
        <v>31.229498668815435</v>
      </c>
    </row>
    <row r="7" spans="1:14" x14ac:dyDescent="0.3">
      <c r="A7" s="9" t="s">
        <v>22</v>
      </c>
      <c r="B7" s="9">
        <v>34.64</v>
      </c>
      <c r="C7" s="9">
        <v>5.05</v>
      </c>
      <c r="D7" s="9">
        <v>0.05</v>
      </c>
      <c r="E7" s="9">
        <f>391.3*2</f>
        <v>782.6</v>
      </c>
      <c r="F7" s="7">
        <f>(E7-'Calibration Distilled Water'!$B$10)/'Calibration Distilled Water'!$B$9</f>
        <v>41.822657087945295</v>
      </c>
      <c r="G7" s="9">
        <f>335.2*2</f>
        <v>670.4</v>
      </c>
      <c r="H7" s="7">
        <f>(G7-'Calibration Distilled Water'!$B$10)/'Calibration Distilled Water'!$B$9</f>
        <v>35.73376172612987</v>
      </c>
      <c r="I7" s="9">
        <f>346.2*2</f>
        <v>692.4</v>
      </c>
      <c r="J7" s="7">
        <f>(I7-'Calibration Distilled Water'!$B$10)/'Calibration Distilled Water'!$B$9</f>
        <v>36.927662777466224</v>
      </c>
      <c r="K7" s="9">
        <f>339.5*2</f>
        <v>679</v>
      </c>
      <c r="L7" s="7">
        <f>(K7-'Calibration Distilled Water'!$B$10)/'Calibration Distilled Water'!$B$9</f>
        <v>36.200468500743177</v>
      </c>
    </row>
    <row r="8" spans="1:14" x14ac:dyDescent="0.3">
      <c r="A8" s="9" t="s">
        <v>23</v>
      </c>
      <c r="B8" s="9">
        <v>34.32</v>
      </c>
      <c r="C8" s="9">
        <v>5.01</v>
      </c>
      <c r="D8" s="9">
        <v>0.05</v>
      </c>
      <c r="E8" s="9">
        <f>359.3*2</f>
        <v>718.6</v>
      </c>
      <c r="F8" s="7">
        <f>(E8-'Calibration Distilled Water'!$B$10)/'Calibration Distilled Water'!$B$9</f>
        <v>38.349490393148621</v>
      </c>
      <c r="G8" s="9">
        <f>333.7*2</f>
        <v>667.4</v>
      </c>
      <c r="H8" s="7">
        <f>(G8-'Calibration Distilled Water'!$B$10)/'Calibration Distilled Water'!$B$9</f>
        <v>35.570957037311274</v>
      </c>
      <c r="I8" s="9">
        <f>341.8*2</f>
        <v>683.6</v>
      </c>
      <c r="J8" s="7">
        <f>(I8-'Calibration Distilled Water'!$B$10)/'Calibration Distilled Water'!$B$9</f>
        <v>36.450102356931687</v>
      </c>
      <c r="K8" s="9">
        <f>335.8*2</f>
        <v>671.6</v>
      </c>
      <c r="L8" s="7">
        <f>(K8-'Calibration Distilled Water'!$B$10)/'Calibration Distilled Water'!$B$9</f>
        <v>35.798883601657309</v>
      </c>
    </row>
    <row r="9" spans="1:14" x14ac:dyDescent="0.3">
      <c r="A9" s="9" t="s">
        <v>24</v>
      </c>
      <c r="B9" s="9">
        <v>34.1</v>
      </c>
      <c r="C9" s="9">
        <v>5</v>
      </c>
      <c r="D9" s="9">
        <v>0.05</v>
      </c>
      <c r="E9" s="9">
        <f>108.8*2</f>
        <v>217.6</v>
      </c>
      <c r="F9" s="7">
        <f>(E9-'Calibration Distilled Water'!$B$10)/'Calibration Distilled Water'!$B$9</f>
        <v>11.161107360443401</v>
      </c>
      <c r="G9" s="9">
        <f>79.8*2</f>
        <v>159.6</v>
      </c>
      <c r="H9" s="7">
        <f>(G9-'Calibration Distilled Water'!$B$10)/'Calibration Distilled Water'!$B$9</f>
        <v>8.0135500432839137</v>
      </c>
      <c r="I9" s="9">
        <f>63.5*2</f>
        <v>127</v>
      </c>
      <c r="J9" s="7">
        <f>(I9-'Calibration Distilled Water'!$B$10)/'Calibration Distilled Water'!$B$9</f>
        <v>6.2444057581218582</v>
      </c>
      <c r="K9" s="9">
        <f>59.1*2</f>
        <v>118.2</v>
      </c>
      <c r="L9" s="7">
        <f>(K9-'Calibration Distilled Water'!$B$10)/'Calibration Distilled Water'!$B$9</f>
        <v>5.7668453375873154</v>
      </c>
    </row>
    <row r="10" spans="1:14" x14ac:dyDescent="0.3">
      <c r="A10" s="9" t="s">
        <v>25</v>
      </c>
      <c r="B10" s="9">
        <v>34.479999999999997</v>
      </c>
      <c r="C10" s="9">
        <v>5.0599999999999996</v>
      </c>
      <c r="D10" s="9">
        <v>0.05</v>
      </c>
      <c r="E10" s="9">
        <f>126.9*2</f>
        <v>253.8</v>
      </c>
      <c r="F10" s="7">
        <f>(E10-'Calibration Distilled Water'!$B$10)/'Calibration Distilled Water'!$B$9</f>
        <v>13.125617272187771</v>
      </c>
      <c r="G10" s="9">
        <f>50.8*2</f>
        <v>101.6</v>
      </c>
      <c r="H10" s="7">
        <f>(G10-'Calibration Distilled Water'!$B$10)/'Calibration Distilled Water'!$B$9</f>
        <v>4.8659927261244276</v>
      </c>
      <c r="I10" s="9">
        <f>50.8*2</f>
        <v>101.6</v>
      </c>
      <c r="J10" s="7">
        <f>(I10-'Calibration Distilled Water'!$B$10)/'Calibration Distilled Water'!$B$9</f>
        <v>4.8659927261244276</v>
      </c>
      <c r="K10" s="9">
        <f>58.2*2</f>
        <v>116.4</v>
      </c>
      <c r="L10" s="7">
        <f>(K10-'Calibration Distilled Water'!$B$10)/'Calibration Distilled Water'!$B$9</f>
        <v>5.6691625242961594</v>
      </c>
      <c r="M10" s="7">
        <f>AVERAGE(L9:L10)</f>
        <v>5.7180039309417374</v>
      </c>
      <c r="N10" s="9">
        <f>_xlfn.STDEV.S(L9:L10)</f>
        <v>6.9072179683555834E-2</v>
      </c>
    </row>
    <row r="11" spans="1:14" x14ac:dyDescent="0.3">
      <c r="A11" s="9" t="s">
        <v>26</v>
      </c>
      <c r="B11" s="9">
        <v>35.090000000000003</v>
      </c>
      <c r="C11" s="9">
        <v>5.01</v>
      </c>
      <c r="D11" s="9">
        <v>0.05</v>
      </c>
      <c r="E11" s="9">
        <f>225.8*2</f>
        <v>451.6</v>
      </c>
      <c r="F11" s="7">
        <f>(E11-'Calibration Distilled Water'!$B$10)/'Calibration Distilled Water'!$B$9</f>
        <v>23.859873088293742</v>
      </c>
      <c r="G11" s="9">
        <f>192.7*2</f>
        <v>385.4</v>
      </c>
      <c r="H11" s="7">
        <f>(G11-'Calibration Distilled Water'!$B$10)/'Calibration Distilled Water'!$B$9</f>
        <v>20.267316288363432</v>
      </c>
      <c r="I11" s="9">
        <f>192.5*2</f>
        <v>385</v>
      </c>
      <c r="J11" s="7">
        <f>(I11-'Calibration Distilled Water'!$B$10)/'Calibration Distilled Water'!$B$9</f>
        <v>20.245608996520954</v>
      </c>
      <c r="K11" s="9">
        <f>193.4*2</f>
        <v>386.8</v>
      </c>
      <c r="L11" s="7">
        <f>(K11-'Calibration Distilled Water'!$B$10)/'Calibration Distilled Water'!$B$9</f>
        <v>20.343291809812108</v>
      </c>
    </row>
    <row r="12" spans="1:14" x14ac:dyDescent="0.3">
      <c r="A12" s="9" t="s">
        <v>4</v>
      </c>
      <c r="B12" s="9">
        <v>34.49</v>
      </c>
      <c r="C12" s="9">
        <v>5.01</v>
      </c>
      <c r="D12" s="9">
        <v>0.05</v>
      </c>
      <c r="E12" s="9">
        <f>93.4*2</f>
        <v>186.8</v>
      </c>
      <c r="F12" s="7">
        <f>(E12-'Calibration Distilled Water'!$B$10)/'Calibration Distilled Water'!$B$9</f>
        <v>9.4896458885725021</v>
      </c>
      <c r="G12" s="9">
        <f>38*2</f>
        <v>76</v>
      </c>
      <c r="H12" s="7">
        <f>(G12-'Calibration Distilled Water'!$B$10)/'Calibration Distilled Water'!$B$9</f>
        <v>3.4767260482057583</v>
      </c>
      <c r="I12" s="9">
        <f>23*2</f>
        <v>46</v>
      </c>
      <c r="J12" s="7">
        <f>(I12-'Calibration Distilled Water'!$B$10)/'Calibration Distilled Water'!$B$9</f>
        <v>1.8486791600198174</v>
      </c>
      <c r="K12" s="9">
        <f>20.9*2</f>
        <v>41.8</v>
      </c>
      <c r="L12" s="7">
        <f>(K12-'Calibration Distilled Water'!$B$10)/'Calibration Distilled Water'!$B$9</f>
        <v>1.6207525956737854</v>
      </c>
    </row>
    <row r="13" spans="1:14" x14ac:dyDescent="0.3">
      <c r="A13" s="9" t="s">
        <v>5</v>
      </c>
      <c r="B13" s="9">
        <v>34.61</v>
      </c>
      <c r="C13" s="9">
        <v>5.01</v>
      </c>
      <c r="D13" s="9">
        <v>0.05</v>
      </c>
      <c r="E13" s="9">
        <f>99.5*2</f>
        <v>199</v>
      </c>
      <c r="F13" s="7">
        <f>(E13-'Calibration Distilled Water'!$B$10)/'Calibration Distilled Water'!$B$9</f>
        <v>10.151718289768118</v>
      </c>
      <c r="G13" s="9">
        <f>41.3*2</f>
        <v>82.6</v>
      </c>
      <c r="H13" s="7">
        <f>(G13-'Calibration Distilled Water'!$B$10)/'Calibration Distilled Water'!$B$9</f>
        <v>3.8348963636066653</v>
      </c>
      <c r="I13" s="9">
        <f>31.7*2</f>
        <v>63.4</v>
      </c>
      <c r="J13" s="7">
        <f>(I13-'Calibration Distilled Water'!$B$10)/'Calibration Distilled Water'!$B$9</f>
        <v>2.792946355167663</v>
      </c>
      <c r="K13" s="9">
        <f>31*2</f>
        <v>62</v>
      </c>
      <c r="L13" s="7">
        <f>(K13-'Calibration Distilled Water'!$B$10)/'Calibration Distilled Water'!$B$9</f>
        <v>2.7169708337189857</v>
      </c>
      <c r="M13" s="7">
        <f>AVERAGE(L12:L14)</f>
        <v>2.3624184002918249</v>
      </c>
      <c r="N13" s="9">
        <f>_xlfn.STDEV.S(L12:L14)</f>
        <v>0.64250772600164685</v>
      </c>
    </row>
    <row r="14" spans="1:14" x14ac:dyDescent="0.3">
      <c r="A14" s="9" t="s">
        <v>6</v>
      </c>
      <c r="B14" s="9">
        <v>34.57</v>
      </c>
      <c r="C14" s="9">
        <v>5.05</v>
      </c>
      <c r="D14" s="9">
        <v>0.05</v>
      </c>
      <c r="E14" s="9">
        <f>164.8*2</f>
        <v>329.6</v>
      </c>
      <c r="F14" s="7">
        <f>(E14-'Calibration Distilled Water'!$B$10)/'Calibration Distilled Water'!$B$9</f>
        <v>17.239149076337583</v>
      </c>
      <c r="G14" s="9">
        <f>61.6*2</f>
        <v>123.2</v>
      </c>
      <c r="H14" s="7">
        <f>(G14-'Calibration Distilled Water'!$B$10)/'Calibration Distilled Water'!$B$9</f>
        <v>6.0381864856183061</v>
      </c>
      <c r="I14" s="9">
        <f>33.4*2</f>
        <v>66.8</v>
      </c>
      <c r="J14" s="7">
        <f>(I14-'Calibration Distilled Water'!$B$10)/'Calibration Distilled Water'!$B$9</f>
        <v>2.9774583358287363</v>
      </c>
      <c r="K14" s="9">
        <f>31.3*2</f>
        <v>62.6</v>
      </c>
      <c r="L14" s="7">
        <f>(K14-'Calibration Distilled Water'!$B$10)/'Calibration Distilled Water'!$B$9</f>
        <v>2.749531771482705</v>
      </c>
    </row>
    <row r="15" spans="1:14" x14ac:dyDescent="0.3">
      <c r="A15" s="9" t="s">
        <v>3</v>
      </c>
      <c r="B15" s="9">
        <v>34.44</v>
      </c>
      <c r="C15" s="9">
        <v>5.0599999999999996</v>
      </c>
      <c r="D15" s="9">
        <v>0.05</v>
      </c>
      <c r="E15" s="9">
        <f>183.6*2</f>
        <v>367.2</v>
      </c>
      <c r="F15" s="7">
        <f>(E15-'Calibration Distilled Water'!$B$10)/'Calibration Distilled Water'!$B$9</f>
        <v>19.279634509530627</v>
      </c>
      <c r="G15" s="9">
        <f>108.6*2</f>
        <v>217.2</v>
      </c>
      <c r="H15" s="7">
        <f>(G15-'Calibration Distilled Water'!$B$10)/'Calibration Distilled Water'!$B$9</f>
        <v>11.139400068600921</v>
      </c>
      <c r="I15" s="9">
        <f>80.4*2</f>
        <v>160.80000000000001</v>
      </c>
      <c r="J15" s="7">
        <f>(I15-'Calibration Distilled Water'!$B$10)/'Calibration Distilled Water'!$B$9</f>
        <v>8.0786719188113523</v>
      </c>
      <c r="K15" s="9">
        <f>101.1*2</f>
        <v>202.2</v>
      </c>
      <c r="L15" s="7">
        <f>(K15-'Calibration Distilled Water'!$B$10)/'Calibration Distilled Water'!$B$9</f>
        <v>10.32537662450795</v>
      </c>
    </row>
    <row r="16" spans="1:14" x14ac:dyDescent="0.3">
      <c r="A16" s="9" t="s">
        <v>7</v>
      </c>
      <c r="B16" s="9">
        <v>35.33</v>
      </c>
      <c r="C16" s="9">
        <v>5.03</v>
      </c>
      <c r="D16" s="9">
        <v>0.05</v>
      </c>
      <c r="E16" s="9">
        <f>209.2*2</f>
        <v>418.4</v>
      </c>
      <c r="F16" s="7">
        <f>(E16-'Calibration Distilled Water'!$B$10)/'Calibration Distilled Water'!$B$9</f>
        <v>22.058167865367967</v>
      </c>
      <c r="G16" s="9">
        <f>138.7*2</f>
        <v>277.39999999999998</v>
      </c>
      <c r="H16" s="7">
        <f>(G16-'Calibration Distilled Water'!$B$10)/'Calibration Distilled Water'!$B$9</f>
        <v>14.406347490894042</v>
      </c>
      <c r="I16" s="9">
        <f>111*2</f>
        <v>222</v>
      </c>
      <c r="J16" s="7">
        <f>(I16-'Calibration Distilled Water'!$B$10)/'Calibration Distilled Water'!$B$9</f>
        <v>11.399887570710671</v>
      </c>
      <c r="K16" s="9">
        <f>115.7*2</f>
        <v>231.4</v>
      </c>
      <c r="L16" s="7">
        <f>(K16-'Calibration Distilled Water'!$B$10)/'Calibration Distilled Water'!$B$9</f>
        <v>11.910008929008933</v>
      </c>
    </row>
    <row r="17" spans="1:12" x14ac:dyDescent="0.3">
      <c r="A17" s="9" t="s">
        <v>8</v>
      </c>
      <c r="B17" s="9">
        <v>34.58</v>
      </c>
      <c r="C17" s="9">
        <v>5</v>
      </c>
      <c r="D17" s="9">
        <v>0.05</v>
      </c>
      <c r="E17" s="9">
        <f>329.5*2</f>
        <v>659</v>
      </c>
      <c r="F17" s="7">
        <f>(E17-'Calibration Distilled Water'!$B$10)/'Calibration Distilled Water'!$B$9</f>
        <v>35.115103908619211</v>
      </c>
      <c r="G17" s="9">
        <f>262.2*2</f>
        <v>524.4</v>
      </c>
      <c r="H17" s="7">
        <f>(G17-'Calibration Distilled Water'!$B$10)/'Calibration Distilled Water'!$B$9</f>
        <v>27.810600203624958</v>
      </c>
      <c r="I17" s="9">
        <f>221.8*2</f>
        <v>443.6</v>
      </c>
      <c r="J17" s="7">
        <f>(I17-'Calibration Distilled Water'!$B$10)/'Calibration Distilled Water'!$B$9</f>
        <v>23.425727251444158</v>
      </c>
      <c r="K17" s="9">
        <f>198.6*2</f>
        <v>397.2</v>
      </c>
      <c r="L17" s="7">
        <f>(K17-'Calibration Distilled Water'!$B$10)/'Calibration Distilled Water'!$B$9</f>
        <v>20.907681397716569</v>
      </c>
    </row>
    <row r="18" spans="1:12" x14ac:dyDescent="0.3">
      <c r="A18" s="9" t="s">
        <v>9</v>
      </c>
      <c r="B18" s="9">
        <v>34.58</v>
      </c>
      <c r="C18" s="9">
        <v>5.0199999999999996</v>
      </c>
      <c r="D18" s="9">
        <v>0.05</v>
      </c>
      <c r="E18" s="9">
        <f>AVERAGE(164.8,164.9)*2</f>
        <v>329.70000000000005</v>
      </c>
      <c r="F18" s="7">
        <f>(E18-'Calibration Distilled Water'!$B$10)/'Calibration Distilled Water'!$B$9</f>
        <v>17.244575899298201</v>
      </c>
      <c r="G18" s="9">
        <f>AVERAGE(83.3,83)*2</f>
        <v>166.3</v>
      </c>
      <c r="H18" s="7">
        <f>(G18-'Calibration Distilled Water'!$B$10)/'Calibration Distilled Water'!$B$9</f>
        <v>8.3771471816454426</v>
      </c>
      <c r="I18" s="9">
        <f>AVERAGE(69.5,69.6)*2</f>
        <v>139.1</v>
      </c>
      <c r="J18" s="7">
        <f>(I18-'Calibration Distilled Water'!$B$10)/'Calibration Distilled Water'!$B$9</f>
        <v>6.9010513363568542</v>
      </c>
      <c r="K18" s="9">
        <f>AVERAGE(55.4,55.6)*2</f>
        <v>111</v>
      </c>
      <c r="L18" s="7">
        <f>(K18-'Calibration Distilled Water'!$B$10)/'Calibration Distilled Water'!$B$9</f>
        <v>5.3761140844226896</v>
      </c>
    </row>
    <row r="19" spans="1:12" x14ac:dyDescent="0.3">
      <c r="A19" s="9" t="s">
        <v>10</v>
      </c>
      <c r="B19" s="9">
        <v>35.53</v>
      </c>
      <c r="C19" s="9">
        <v>5.03</v>
      </c>
      <c r="D19" s="9">
        <v>0.05</v>
      </c>
      <c r="E19" s="9">
        <f>AVERAGE(184.5,184.5)*2</f>
        <v>369</v>
      </c>
      <c r="F19" s="7">
        <f>(E19-'Calibration Distilled Water'!$B$10)/'Calibration Distilled Water'!$B$9</f>
        <v>19.377317322821785</v>
      </c>
      <c r="G19" s="9">
        <f>AVERAGE(82.5,84.3)*2</f>
        <v>166.8</v>
      </c>
      <c r="H19" s="7">
        <f>(G19-'Calibration Distilled Water'!$B$10)/'Calibration Distilled Water'!$B$9</f>
        <v>8.4042812964485414</v>
      </c>
      <c r="I19" s="9">
        <f>AVERAGE(69.8,69.8)*2</f>
        <v>139.6</v>
      </c>
      <c r="J19" s="7">
        <f>(I19-'Calibration Distilled Water'!$B$10)/'Calibration Distilled Water'!$B$9</f>
        <v>6.928185451159953</v>
      </c>
      <c r="K19" s="9">
        <f>AVERAGE(55.4,56.1)*2</f>
        <v>111.5</v>
      </c>
      <c r="L19" s="7">
        <f>(K19-'Calibration Distilled Water'!$B$10)/'Calibration Distilled Water'!$B$9</f>
        <v>5.4032481992257884</v>
      </c>
    </row>
    <row r="20" spans="1:12" x14ac:dyDescent="0.3">
      <c r="A20" s="9" t="s">
        <v>11</v>
      </c>
      <c r="B20" s="9">
        <v>35.21</v>
      </c>
      <c r="C20" s="9">
        <v>5.01</v>
      </c>
      <c r="D20" s="9">
        <v>0.05</v>
      </c>
      <c r="E20" s="9">
        <f>AVERAGE(168.4,168.3)*2</f>
        <v>336.70000000000005</v>
      </c>
      <c r="F20" s="7">
        <f>(E20-'Calibration Distilled Water'!$B$10)/'Calibration Distilled Water'!$B$9</f>
        <v>17.624453506541588</v>
      </c>
      <c r="G20" s="9">
        <f>AVERAGE(91.6,91.6)*2</f>
        <v>183.2</v>
      </c>
      <c r="H20" s="7">
        <f>(G20-'Calibration Distilled Water'!$B$10)/'Calibration Distilled Water'!$B$9</f>
        <v>9.2942802619901883</v>
      </c>
      <c r="I20" s="9">
        <f>AVERAGE(78.2,77.9)*2</f>
        <v>156.10000000000002</v>
      </c>
      <c r="J20" s="7">
        <f>(I20-'Calibration Distilled Water'!$B$10)/'Calibration Distilled Water'!$B$9</f>
        <v>7.8236112396622222</v>
      </c>
      <c r="K20" s="9">
        <f>AVERAGE(65.5,65.2)*2</f>
        <v>130.69999999999999</v>
      </c>
      <c r="L20" s="7">
        <f>(K20-'Calibration Distilled Water'!$B$10)/'Calibration Distilled Water'!$B$9</f>
        <v>6.4451982076647907</v>
      </c>
    </row>
    <row r="21" spans="1:12" x14ac:dyDescent="0.3">
      <c r="A21" s="9" t="s">
        <v>12</v>
      </c>
      <c r="B21" s="9">
        <v>34.6</v>
      </c>
      <c r="C21" s="9">
        <v>5.03</v>
      </c>
      <c r="D21" s="9">
        <v>0.05</v>
      </c>
      <c r="E21" s="9">
        <f>333.2*2</f>
        <v>666.4</v>
      </c>
      <c r="F21" s="7">
        <f>(E21-'Calibration Distilled Water'!$B$10)/'Calibration Distilled Water'!$B$9</f>
        <v>35.51668880770508</v>
      </c>
      <c r="G21" s="9">
        <f>185.2*2</f>
        <v>370.4</v>
      </c>
      <c r="H21" s="7">
        <f>(G21-'Calibration Distilled Water'!$B$10)/'Calibration Distilled Water'!$B$9</f>
        <v>19.453292844270461</v>
      </c>
      <c r="I21" s="9">
        <f>137.7*2</f>
        <v>275.39999999999998</v>
      </c>
      <c r="J21" s="7">
        <f>(I21-'Calibration Distilled Water'!$B$10)/'Calibration Distilled Water'!$B$9</f>
        <v>14.297811031681645</v>
      </c>
      <c r="K21" s="9">
        <f>123*2</f>
        <v>246</v>
      </c>
      <c r="L21" s="7">
        <f>(K21-'Calibration Distilled Water'!$B$10)/'Calibration Distilled Water'!$B$9</f>
        <v>12.702325081259424</v>
      </c>
    </row>
    <row r="22" spans="1:12" x14ac:dyDescent="0.3">
      <c r="A22" s="9" t="s">
        <v>13</v>
      </c>
      <c r="B22" s="9">
        <v>35.799999999999997</v>
      </c>
      <c r="C22" s="9">
        <v>5.0199999999999996</v>
      </c>
      <c r="D22" s="9">
        <v>0.05</v>
      </c>
      <c r="E22" s="9">
        <f>339.6*2</f>
        <v>679.2</v>
      </c>
      <c r="F22" s="7">
        <f>(E22-'Calibration Distilled Water'!$B$10)/'Calibration Distilled Water'!$B$9</f>
        <v>36.211322146664415</v>
      </c>
      <c r="G22" s="9">
        <f>189*2</f>
        <v>378</v>
      </c>
      <c r="H22" s="7">
        <f>(G22-'Calibration Distilled Water'!$B$10)/'Calibration Distilled Water'!$B$9</f>
        <v>19.865731389277567</v>
      </c>
      <c r="I22" s="9">
        <f>149*2</f>
        <v>298</v>
      </c>
      <c r="J22" s="7">
        <f>(I22-'Calibration Distilled Water'!$B$10)/'Calibration Distilled Water'!$B$9</f>
        <v>15.524273020781722</v>
      </c>
      <c r="K22" s="9">
        <f>127.9*2</f>
        <v>255.8</v>
      </c>
      <c r="L22" s="7">
        <f>(K22-'Calibration Distilled Water'!$B$10)/'Calibration Distilled Water'!$B$9</f>
        <v>13.234153731400166</v>
      </c>
    </row>
    <row r="23" spans="1:12" x14ac:dyDescent="0.3">
      <c r="A23" s="9" t="s">
        <v>14</v>
      </c>
      <c r="B23" s="9">
        <v>34.880000000000003</v>
      </c>
      <c r="C23" s="9">
        <v>5.05</v>
      </c>
      <c r="D23" s="9">
        <v>0.05</v>
      </c>
      <c r="E23" s="9">
        <f>303.4*2</f>
        <v>606.79999999999995</v>
      </c>
      <c r="F23" s="7">
        <f>(E23-'Calibration Distilled Water'!$B$10)/'Calibration Distilled Water'!$B$9</f>
        <v>32.282302323175678</v>
      </c>
      <c r="G23" s="9">
        <f>197.7*2</f>
        <v>395.4</v>
      </c>
      <c r="H23" s="7">
        <f>(G23-'Calibration Distilled Water'!$B$10)/'Calibration Distilled Water'!$B$9</f>
        <v>20.809998584425411</v>
      </c>
      <c r="I23" s="9">
        <f>160.6*2</f>
        <v>321.2</v>
      </c>
      <c r="J23" s="7">
        <f>(I23-'Calibration Distilled Water'!$B$10)/'Calibration Distilled Water'!$B$9</f>
        <v>16.783295947645517</v>
      </c>
      <c r="K23" s="9">
        <f>253.3*2</f>
        <v>506.6</v>
      </c>
      <c r="L23" s="7">
        <f>(K23-'Calibration Distilled Water'!$B$10)/'Calibration Distilled Water'!$B$9</f>
        <v>26.844625716634635</v>
      </c>
    </row>
    <row r="24" spans="1:12" x14ac:dyDescent="0.3">
      <c r="A24" s="9" t="s">
        <v>48</v>
      </c>
      <c r="C24" s="9">
        <v>0</v>
      </c>
      <c r="D24" s="9">
        <v>0.05</v>
      </c>
      <c r="E24" s="9">
        <f>AVERAGE(517.1,519.9)*2</f>
        <v>1037</v>
      </c>
      <c r="F24" s="7">
        <f>(E24-'Calibration Distilled Water'!$B$10)/'Calibration Distilled Water'!$B$9</f>
        <v>55.628494699762065</v>
      </c>
      <c r="G24" s="9">
        <f>AVERAGE(489.7,491.5)*2</f>
        <v>981.2</v>
      </c>
      <c r="H24" s="7">
        <f>(G24-'Calibration Distilled Water'!$B$10)/'Calibration Distilled Water'!$B$9</f>
        <v>52.600327487736223</v>
      </c>
      <c r="I24" s="9">
        <f>AVERAGE(491.7,491.6)*2</f>
        <v>983.3</v>
      </c>
      <c r="J24" s="7">
        <f>(I24-'Calibration Distilled Water'!$B$10)/'Calibration Distilled Water'!$B$9</f>
        <v>52.714290769909233</v>
      </c>
      <c r="K24" s="9">
        <f>AVERAGE(513.9,516.4)*2</f>
        <v>1030.3</v>
      </c>
      <c r="L24" s="7">
        <f>(K24-'Calibration Distilled Water'!$B$10)/'Calibration Distilled Water'!$B$9</f>
        <v>55.264897561400545</v>
      </c>
    </row>
    <row r="25" spans="1:12" x14ac:dyDescent="0.3">
      <c r="A25" s="9" t="s">
        <v>49</v>
      </c>
      <c r="C25" s="9">
        <v>0</v>
      </c>
      <c r="D25" s="9">
        <v>0.05</v>
      </c>
      <c r="E25" s="9">
        <f>533.9*2</f>
        <v>1067.8</v>
      </c>
      <c r="F25" s="7">
        <f>(E25-'Calibration Distilled Water'!$B$10)/'Calibration Distilled Water'!$B$9</f>
        <v>57.299956171632978</v>
      </c>
      <c r="G25" s="9">
        <f>AVERAGE(478.2,496.4)*2</f>
        <v>974.59999999999991</v>
      </c>
      <c r="H25" s="7">
        <f>(G25-'Calibration Distilled Water'!$B$10)/'Calibration Distilled Water'!$B$9</f>
        <v>52.242157172335311</v>
      </c>
      <c r="I25" s="9">
        <f>AVERAGE(471.3,473.1)*2</f>
        <v>944.40000000000009</v>
      </c>
      <c r="J25" s="7">
        <f>(I25-'Calibration Distilled Water'!$B$10)/'Calibration Distilled Water'!$B$9</f>
        <v>50.603256638228139</v>
      </c>
      <c r="K25" s="9">
        <f>AVERAGE(508.4,507.4)*2</f>
        <v>1015.8</v>
      </c>
      <c r="L25" s="7">
        <f>(K25-'Calibration Distilled Water'!$B$10)/'Calibration Distilled Water'!$B$9</f>
        <v>54.478008232110675</v>
      </c>
    </row>
    <row r="26" spans="1:12" x14ac:dyDescent="0.3">
      <c r="A26" s="9" t="s">
        <v>50</v>
      </c>
      <c r="C26" s="9">
        <v>0</v>
      </c>
      <c r="D26" s="9">
        <v>0.05</v>
      </c>
      <c r="E26" s="9">
        <f>AVERAGE(531.7,533.2)*2</f>
        <v>1064.9000000000001</v>
      </c>
      <c r="F26" s="7">
        <f>(E26-'Calibration Distilled Water'!$B$10)/'Calibration Distilled Water'!$B$9</f>
        <v>57.142578305774997</v>
      </c>
      <c r="G26" s="9">
        <f>AVERAGE(486.4,482.5)*2</f>
        <v>968.9</v>
      </c>
      <c r="H26" s="7">
        <f>(G26-'Calibration Distilled Water'!$B$10)/'Calibration Distilled Water'!$B$9</f>
        <v>51.932828263579985</v>
      </c>
      <c r="I26" s="9">
        <f>AVERAGE(478.2,476.9)*2</f>
        <v>955.09999999999991</v>
      </c>
      <c r="J26" s="7">
        <f>(I26-'Calibration Distilled Water'!$B$9)/'Calibration Distilled Water'!$B$10</f>
        <v>78.485058582461946</v>
      </c>
      <c r="K26" s="9">
        <f>AVERAGE(502.3,499.9)*2</f>
        <v>1002.2</v>
      </c>
      <c r="L26" s="7">
        <f>(K26-'Calibration Distilled Water'!$B$10)/'Calibration Distilled Water'!$B$9</f>
        <v>53.739960309466383</v>
      </c>
    </row>
    <row r="28" spans="1:12" ht="15" thickBot="1" x14ac:dyDescent="0.35"/>
    <row r="29" spans="1:12" ht="15" thickBot="1" x14ac:dyDescent="0.35">
      <c r="A29" s="44" t="s">
        <v>62</v>
      </c>
      <c r="B29" s="45"/>
      <c r="C29" s="45"/>
      <c r="D29" s="45"/>
      <c r="E29" s="45"/>
      <c r="F29" s="45"/>
      <c r="G29" s="45"/>
      <c r="H29" s="45"/>
      <c r="I29" s="46"/>
      <c r="J29" s="10"/>
      <c r="K29" s="10"/>
      <c r="L29" s="10"/>
    </row>
    <row r="30" spans="1:12" x14ac:dyDescent="0.3">
      <c r="A30" s="4" t="s">
        <v>0</v>
      </c>
      <c r="B30" s="4" t="s">
        <v>71</v>
      </c>
      <c r="C30" s="4" t="s">
        <v>72</v>
      </c>
      <c r="D30" s="4" t="s">
        <v>73</v>
      </c>
      <c r="E30" s="4" t="s">
        <v>72</v>
      </c>
      <c r="F30" s="4" t="s">
        <v>74</v>
      </c>
      <c r="G30" s="4" t="s">
        <v>72</v>
      </c>
      <c r="H30" s="4" t="s">
        <v>75</v>
      </c>
      <c r="I30" s="4" t="s">
        <v>72</v>
      </c>
    </row>
    <row r="31" spans="1:12" x14ac:dyDescent="0.3">
      <c r="A31" s="9" t="s">
        <v>63</v>
      </c>
      <c r="B31" s="8">
        <f>AVERAGE(F3:F5)</f>
        <v>30.865901530453907</v>
      </c>
      <c r="C31" s="8">
        <f>_xlfn.STDEV.S(F3:F5)</f>
        <v>13.539168513177248</v>
      </c>
      <c r="D31" s="8">
        <f>AVERAGE(H3:H5)</f>
        <v>35.458802696125133</v>
      </c>
      <c r="E31" s="8">
        <f>_xlfn.STDEV.S(H3:H5)</f>
        <v>6.9882843755514061</v>
      </c>
      <c r="F31" s="8">
        <f>AVERAGE(J3:J5)</f>
        <v>35.390062938623949</v>
      </c>
      <c r="G31" s="8">
        <f>_xlfn.STDEV.S(J3:J5)</f>
        <v>7.2599155131783366</v>
      </c>
      <c r="H31" s="8">
        <f>AVERAGE(L3:L5)</f>
        <v>34.673722307822139</v>
      </c>
      <c r="I31" s="8">
        <f>_xlfn.STDEV.S(L3:L5)</f>
        <v>7.4985838523449013</v>
      </c>
    </row>
    <row r="32" spans="1:12" x14ac:dyDescent="0.3">
      <c r="A32" s="9" t="s">
        <v>64</v>
      </c>
      <c r="B32" s="8">
        <f>AVERAGE(F6:F8)</f>
        <v>37.969612785905234</v>
      </c>
      <c r="C32" s="8">
        <f>_xlfn.STDEV.S(F6:F8)</f>
        <v>4.0563459714415497</v>
      </c>
      <c r="D32" s="8">
        <f>AVERAGE(H6:H8)</f>
        <v>34.507299737029797</v>
      </c>
      <c r="E32" s="8">
        <f>_xlfn.STDEV.S(H6:H8)</f>
        <v>1.9849713124812256</v>
      </c>
      <c r="F32" s="8">
        <f>AVERAGE(J7:J8)</f>
        <v>36.688882567198959</v>
      </c>
      <c r="G32" s="8">
        <f>_xlfn.STDEV.S(J7:J8)</f>
        <v>0.33768621178627078</v>
      </c>
      <c r="H32" s="8">
        <f>AVERAGE(L6:L8)</f>
        <v>34.409616923738639</v>
      </c>
      <c r="I32" s="8">
        <f>_xlfn.STDEV.S(L6:L8)</f>
        <v>2.7613731537525519</v>
      </c>
    </row>
    <row r="33" spans="1:15" x14ac:dyDescent="0.3">
      <c r="A33" s="9" t="s">
        <v>65</v>
      </c>
      <c r="B33" s="8">
        <f>AVERAGE(F9:F10)</f>
        <v>12.143362316315585</v>
      </c>
      <c r="C33" s="8">
        <f>_xlfn.STDEV.S(F9:F10)</f>
        <v>1.3891182803026301</v>
      </c>
      <c r="D33" s="8">
        <f>AVERAGE(H9:H10)</f>
        <v>6.4397713847041711</v>
      </c>
      <c r="E33" s="8">
        <f>_xlfn.STDEV.S(H9:H10)</f>
        <v>2.2256591231368064</v>
      </c>
      <c r="F33" s="8">
        <f>AVERAGE(J9:J10)</f>
        <v>5.5551992421231429</v>
      </c>
      <c r="G33" s="8">
        <f>_xlfn.STDEV.S(J9:J10)</f>
        <v>0.97468520220129484</v>
      </c>
      <c r="H33" s="8">
        <f>AVERAGE(L9:L10)</f>
        <v>5.7180039309417374</v>
      </c>
      <c r="I33" s="8">
        <f>_xlfn.STDEV.S(L9:L10)</f>
        <v>6.9072179683555834E-2</v>
      </c>
    </row>
    <row r="34" spans="1:15" x14ac:dyDescent="0.3">
      <c r="A34" s="9" t="s">
        <v>66</v>
      </c>
      <c r="B34" s="8">
        <f>AVERAGE(F12:F14)</f>
        <v>12.293504418226069</v>
      </c>
      <c r="C34" s="8">
        <f>_xlfn.STDEV.S(F12:F14)</f>
        <v>4.2958277176041921</v>
      </c>
      <c r="D34" s="8">
        <f>AVERAGE(H12:H14)</f>
        <v>4.4499362991435767</v>
      </c>
      <c r="E34" s="8">
        <f>_xlfn.STDEV.S(H12:H14)</f>
        <v>1.3870744337764831</v>
      </c>
      <c r="F34" s="8">
        <f>AVERAGE(J12:J14)</f>
        <v>2.5396946170054058</v>
      </c>
      <c r="G34" s="8">
        <f>_xlfn.STDEV.S(J12:J14)</f>
        <v>0.60550634934459446</v>
      </c>
      <c r="H34" s="8">
        <f>AVERAGE(L12:L14)</f>
        <v>2.3624184002918249</v>
      </c>
      <c r="I34" s="8">
        <f>_xlfn.STDEV.S(L12:L14)</f>
        <v>0.64250772600164685</v>
      </c>
    </row>
    <row r="35" spans="1:15" x14ac:dyDescent="0.3">
      <c r="A35" s="9" t="s">
        <v>67</v>
      </c>
      <c r="B35" s="8">
        <f>AVERAGE(F15:F16)</f>
        <v>20.668901187449297</v>
      </c>
      <c r="C35" s="8">
        <f>_xlfn.STDEV.S(F15:F16)</f>
        <v>1.9647197776655971</v>
      </c>
      <c r="D35" s="8">
        <f>AVERAGE(H15:H16)</f>
        <v>12.772873779747481</v>
      </c>
      <c r="E35" s="8">
        <f>_xlfn.STDEV.S(H15:H16)</f>
        <v>2.3100806760833783</v>
      </c>
      <c r="F35" s="8">
        <f>AVERAGE(J15:J16)</f>
        <v>9.7392797447610118</v>
      </c>
      <c r="G35" s="8">
        <f>_xlfn.STDEV.S(J15:J16)</f>
        <v>2.3484541092409046</v>
      </c>
      <c r="H35" s="8">
        <f>AVERAGE(L15:L16)</f>
        <v>11.117692776758442</v>
      </c>
      <c r="I35" s="8">
        <f>_xlfn.STDEV.S(L15:L16)</f>
        <v>1.1205042481999117</v>
      </c>
    </row>
    <row r="36" spans="1:15" x14ac:dyDescent="0.3">
      <c r="A36" s="9" t="s">
        <v>68</v>
      </c>
      <c r="B36" s="8">
        <f>AVERAGE(F18:F20)</f>
        <v>18.082115576220527</v>
      </c>
      <c r="C36" s="8">
        <f>_xlfn.STDEV.S(F18:F20)</f>
        <v>1.1376455609812999</v>
      </c>
      <c r="D36" s="8">
        <f>AVERAGE(H18:H20)</f>
        <v>8.6919029133613908</v>
      </c>
      <c r="E36" s="8">
        <f>_xlfn.STDEV.S(H18:H20)</f>
        <v>0.5218504744199548</v>
      </c>
      <c r="F36" s="8">
        <f>AVERAGE(J18:J20)</f>
        <v>7.2176160090596762</v>
      </c>
      <c r="G36" s="8">
        <f>_xlfn.STDEV.S(J18:J20)</f>
        <v>0.52498259940812453</v>
      </c>
      <c r="H36" s="8">
        <f>AVERAGE(L18:L20)</f>
        <v>5.7415201637710895</v>
      </c>
      <c r="I36" s="8">
        <f>_xlfn.STDEV.S(L18:L20)</f>
        <v>0.60955406416501412</v>
      </c>
    </row>
    <row r="37" spans="1:15" x14ac:dyDescent="0.3">
      <c r="A37" s="9" t="s">
        <v>69</v>
      </c>
      <c r="B37" s="8">
        <f>AVERAGE(F21:F23)</f>
        <v>34.670104425848393</v>
      </c>
      <c r="C37" s="8">
        <f>_xlfn.STDEV.S(F21:F23)</f>
        <v>2.0968614713529887</v>
      </c>
      <c r="D37" s="8">
        <f>AVERAGE(H21:H23)</f>
        <v>20.043007605991146</v>
      </c>
      <c r="E37" s="8">
        <f>_xlfn.STDEV.S(H21:H23)</f>
        <v>0.69550899282579948</v>
      </c>
      <c r="F37" s="8">
        <f>AVERAGE(J21:J23)</f>
        <v>15.535126666702959</v>
      </c>
      <c r="G37" s="8">
        <f>_xlfn.STDEV.S(J21:J23)</f>
        <v>1.2427780043488543</v>
      </c>
      <c r="H37" s="8">
        <f>AVERAGE(L21:L22)</f>
        <v>12.968239406329795</v>
      </c>
      <c r="I37" s="8">
        <f>_xlfn.STDEV.S(L21:L22)</f>
        <v>0.37605964494380667</v>
      </c>
    </row>
    <row r="38" spans="1:15" x14ac:dyDescent="0.3">
      <c r="A38" s="9" t="s">
        <v>70</v>
      </c>
      <c r="B38" s="8">
        <f>AVERAGE(F24:F26)</f>
        <v>56.69034305905668</v>
      </c>
      <c r="C38" s="8">
        <f>_xlfn.STDEV.S(F24:F26)</f>
        <v>0.92294821185589948</v>
      </c>
      <c r="D38" s="8">
        <f>AVERAGE(H24:H26)</f>
        <v>52.258437641217171</v>
      </c>
      <c r="E38" s="8">
        <f>_xlfn.STDEV.S(H24:H26)</f>
        <v>0.33404729277836515</v>
      </c>
      <c r="F38" s="8">
        <f>AVERAGE(J24:J26)</f>
        <v>60.600868663533106</v>
      </c>
      <c r="G38" s="8">
        <f>_xlfn.STDEV.S(J24:J26)</f>
        <v>15.524087833702723</v>
      </c>
      <c r="H38" s="8">
        <f>AVERAGE(L24:L26)</f>
        <v>54.494288700992534</v>
      </c>
      <c r="I38" s="8">
        <f>_xlfn.STDEV.S(L24:L26)</f>
        <v>0.7625989744514402</v>
      </c>
    </row>
    <row r="43" spans="1:15" ht="15" thickBot="1" x14ac:dyDescent="0.35"/>
    <row r="44" spans="1:15" ht="15" thickBot="1" x14ac:dyDescent="0.35">
      <c r="A44" s="50" t="s">
        <v>78</v>
      </c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2"/>
    </row>
    <row r="45" spans="1:15" ht="43.2" x14ac:dyDescent="0.3">
      <c r="A45" s="11" t="s">
        <v>0</v>
      </c>
      <c r="B45" s="11" t="s">
        <v>80</v>
      </c>
      <c r="C45" s="11" t="s">
        <v>87</v>
      </c>
      <c r="D45" s="11" t="s">
        <v>85</v>
      </c>
      <c r="E45" s="11" t="s">
        <v>86</v>
      </c>
      <c r="F45" s="11" t="s">
        <v>79</v>
      </c>
      <c r="G45" s="11" t="s">
        <v>81</v>
      </c>
      <c r="H45" s="11" t="s">
        <v>88</v>
      </c>
      <c r="I45" s="4" t="s">
        <v>92</v>
      </c>
      <c r="J45" s="11" t="s">
        <v>89</v>
      </c>
      <c r="K45" s="11" t="s">
        <v>91</v>
      </c>
      <c r="L45" s="11" t="s">
        <v>53</v>
      </c>
      <c r="M45" s="11" t="s">
        <v>84</v>
      </c>
      <c r="N45" s="11" t="s">
        <v>90</v>
      </c>
      <c r="O45" s="11" t="s">
        <v>114</v>
      </c>
    </row>
    <row r="46" spans="1:15" x14ac:dyDescent="0.3">
      <c r="A46" s="9" t="s">
        <v>18</v>
      </c>
      <c r="B46" s="9">
        <v>49.17</v>
      </c>
      <c r="C46" s="9">
        <f>B46-B3</f>
        <v>14.160000000000004</v>
      </c>
      <c r="D46" s="9">
        <v>1.06</v>
      </c>
      <c r="E46" s="9">
        <v>7.7</v>
      </c>
      <c r="F46" s="9">
        <f>E46-D46</f>
        <v>6.6400000000000006</v>
      </c>
      <c r="G46" s="9">
        <f>2.53-D46</f>
        <v>1.4699999999999998</v>
      </c>
      <c r="H46" s="9">
        <f>F46-G46</f>
        <v>5.1700000000000008</v>
      </c>
      <c r="M46" s="9" t="e">
        <f>(L46-'Calibration Distilled Water'!$B$32)/'Calibration Distilled Water'!$B$31</f>
        <v>#DIV/0!</v>
      </c>
      <c r="N46" s="9" t="e">
        <f>((M46*K46)/J46)*1000</f>
        <v>#DIV/0!</v>
      </c>
      <c r="O46" s="9" t="e">
        <f>N46/1000</f>
        <v>#DIV/0!</v>
      </c>
    </row>
    <row r="47" spans="1:15" x14ac:dyDescent="0.3">
      <c r="A47" s="9" t="s">
        <v>19</v>
      </c>
      <c r="B47" s="9">
        <v>48.41</v>
      </c>
      <c r="C47" s="9">
        <f t="shared" ref="C47:C66" si="0">B47-B4</f>
        <v>13.839999999999996</v>
      </c>
      <c r="D47" s="9">
        <v>1.02</v>
      </c>
      <c r="E47" s="9">
        <v>8.02</v>
      </c>
      <c r="F47" s="9">
        <f t="shared" ref="F47:F66" si="1">E47-D47</f>
        <v>7</v>
      </c>
      <c r="G47" s="9">
        <f>2.89-D47</f>
        <v>1.87</v>
      </c>
      <c r="H47" s="9">
        <f t="shared" ref="H47:H66" si="2">F47-G47</f>
        <v>5.13</v>
      </c>
      <c r="M47" s="9" t="e">
        <f>(L47-'Calibration Distilled Water'!$B$32)/'Calibration Distilled Water'!$B$31</f>
        <v>#DIV/0!</v>
      </c>
      <c r="N47" s="9" t="e">
        <f t="shared" ref="N47:N66" si="3">((M47*K47)/J47)*1000</f>
        <v>#DIV/0!</v>
      </c>
      <c r="O47" s="9" t="e">
        <f t="shared" ref="O47:O66" si="4">N47/1000</f>
        <v>#DIV/0!</v>
      </c>
    </row>
    <row r="48" spans="1:15" x14ac:dyDescent="0.3">
      <c r="A48" s="9" t="s">
        <v>20</v>
      </c>
      <c r="B48" s="9">
        <v>49.27</v>
      </c>
      <c r="C48" s="9">
        <f t="shared" si="0"/>
        <v>14.89</v>
      </c>
      <c r="D48" s="9">
        <v>0.99</v>
      </c>
      <c r="E48" s="9">
        <v>7.67</v>
      </c>
      <c r="F48" s="9">
        <f t="shared" si="1"/>
        <v>6.68</v>
      </c>
      <c r="G48" s="9">
        <f>2.65-D48</f>
        <v>1.66</v>
      </c>
      <c r="H48" s="9">
        <f t="shared" si="2"/>
        <v>5.0199999999999996</v>
      </c>
      <c r="M48" s="9" t="e">
        <f>(L48-'Calibration Distilled Water'!$B$32)/'Calibration Distilled Water'!$B$31</f>
        <v>#DIV/0!</v>
      </c>
      <c r="N48" s="9" t="e">
        <f t="shared" si="3"/>
        <v>#DIV/0!</v>
      </c>
      <c r="O48" s="9" t="e">
        <f t="shared" si="4"/>
        <v>#DIV/0!</v>
      </c>
    </row>
    <row r="49" spans="1:15" x14ac:dyDescent="0.3">
      <c r="A49" s="9" t="s">
        <v>21</v>
      </c>
      <c r="B49" s="9">
        <v>51.85</v>
      </c>
      <c r="C49" s="9">
        <f t="shared" si="0"/>
        <v>16.899999999999999</v>
      </c>
      <c r="D49" s="9">
        <v>1.02</v>
      </c>
      <c r="E49" s="9">
        <v>9</v>
      </c>
      <c r="F49" s="9">
        <f t="shared" si="1"/>
        <v>7.98</v>
      </c>
      <c r="G49" s="9">
        <f>3-D49</f>
        <v>1.98</v>
      </c>
      <c r="H49" s="9">
        <f t="shared" si="2"/>
        <v>6</v>
      </c>
      <c r="M49" s="9" t="e">
        <f>(L49-'Calibration Distilled Water'!$B$32)/'Calibration Distilled Water'!$B$31</f>
        <v>#DIV/0!</v>
      </c>
      <c r="N49" s="9" t="e">
        <f t="shared" si="3"/>
        <v>#DIV/0!</v>
      </c>
      <c r="O49" s="9" t="e">
        <f t="shared" si="4"/>
        <v>#DIV/0!</v>
      </c>
    </row>
    <row r="50" spans="1:15" x14ac:dyDescent="0.3">
      <c r="A50" s="9" t="s">
        <v>22</v>
      </c>
      <c r="B50" s="9">
        <v>49.11</v>
      </c>
      <c r="C50" s="9">
        <f t="shared" si="0"/>
        <v>14.469999999999999</v>
      </c>
      <c r="D50" s="9">
        <v>0.99</v>
      </c>
      <c r="E50" s="9">
        <v>9.81</v>
      </c>
      <c r="F50" s="9">
        <f t="shared" si="1"/>
        <v>8.82</v>
      </c>
      <c r="G50" s="9">
        <f>3.57-D50</f>
        <v>2.58</v>
      </c>
      <c r="H50" s="9">
        <f t="shared" si="2"/>
        <v>6.24</v>
      </c>
      <c r="M50" s="9" t="e">
        <f>(L50-'Calibration Distilled Water'!$B$32)/'Calibration Distilled Water'!$B$31</f>
        <v>#DIV/0!</v>
      </c>
      <c r="N50" s="9" t="e">
        <f t="shared" si="3"/>
        <v>#DIV/0!</v>
      </c>
      <c r="O50" s="9" t="e">
        <f t="shared" si="4"/>
        <v>#DIV/0!</v>
      </c>
    </row>
    <row r="51" spans="1:15" x14ac:dyDescent="0.3">
      <c r="A51" s="9" t="s">
        <v>23</v>
      </c>
      <c r="B51" s="9">
        <v>51</v>
      </c>
      <c r="C51" s="9">
        <f t="shared" si="0"/>
        <v>16.68</v>
      </c>
      <c r="D51" s="9">
        <v>1.06</v>
      </c>
      <c r="E51" s="9">
        <v>8.0299999999999994</v>
      </c>
      <c r="F51" s="9">
        <f t="shared" si="1"/>
        <v>6.9699999999999989</v>
      </c>
      <c r="G51" s="9">
        <f>2.98-D51</f>
        <v>1.92</v>
      </c>
      <c r="H51" s="9">
        <f t="shared" si="2"/>
        <v>5.0499999999999989</v>
      </c>
      <c r="M51" s="9" t="e">
        <f>(L51-'Calibration Distilled Water'!$B$32)/'Calibration Distilled Water'!$B$31</f>
        <v>#DIV/0!</v>
      </c>
      <c r="N51" s="9" t="e">
        <f t="shared" si="3"/>
        <v>#DIV/0!</v>
      </c>
      <c r="O51" s="9" t="e">
        <f t="shared" si="4"/>
        <v>#DIV/0!</v>
      </c>
    </row>
    <row r="52" spans="1:15" x14ac:dyDescent="0.3">
      <c r="A52" s="9" t="s">
        <v>24</v>
      </c>
      <c r="B52" s="9">
        <v>49.57</v>
      </c>
      <c r="C52" s="9">
        <f t="shared" si="0"/>
        <v>15.469999999999999</v>
      </c>
      <c r="D52" s="9">
        <v>1.06</v>
      </c>
      <c r="E52" s="9">
        <v>7.31</v>
      </c>
      <c r="F52" s="9">
        <f t="shared" si="1"/>
        <v>6.25</v>
      </c>
      <c r="G52" s="9">
        <f>2.24-D52</f>
        <v>1.1800000000000002</v>
      </c>
      <c r="H52" s="9">
        <f t="shared" si="2"/>
        <v>5.07</v>
      </c>
      <c r="I52" s="9">
        <v>34.53</v>
      </c>
      <c r="J52" s="9">
        <v>1</v>
      </c>
      <c r="K52" s="9">
        <v>5.0000000000000001E-3</v>
      </c>
      <c r="L52" s="9">
        <f>192.5*2</f>
        <v>385</v>
      </c>
      <c r="M52" s="7">
        <f>(L52-'Calibration Distilled Water'!$B$10)/'Calibration Distilled Water'!$B$9</f>
        <v>20.245608996520954</v>
      </c>
      <c r="N52" s="7">
        <f>((M52*K52)/J52)*1000</f>
        <v>101.22804498260477</v>
      </c>
      <c r="O52" s="7">
        <f>N52/1000</f>
        <v>0.10122804498260476</v>
      </c>
    </row>
    <row r="53" spans="1:15" x14ac:dyDescent="0.3">
      <c r="A53" s="9" t="s">
        <v>25</v>
      </c>
      <c r="B53" s="9">
        <v>49.57</v>
      </c>
      <c r="C53" s="9">
        <f t="shared" si="0"/>
        <v>15.090000000000003</v>
      </c>
      <c r="D53" s="9">
        <v>1.07</v>
      </c>
      <c r="E53" s="9">
        <v>8.6</v>
      </c>
      <c r="F53" s="9">
        <f t="shared" si="1"/>
        <v>7.5299999999999994</v>
      </c>
      <c r="G53" s="9">
        <f>2.8-D53</f>
        <v>1.7299999999999998</v>
      </c>
      <c r="H53" s="9">
        <f t="shared" si="2"/>
        <v>5.8</v>
      </c>
      <c r="I53" s="9">
        <v>35.1</v>
      </c>
      <c r="J53" s="9">
        <v>1.01</v>
      </c>
      <c r="K53" s="9">
        <v>5.0000000000000001E-3</v>
      </c>
      <c r="L53" s="9">
        <f>222*2</f>
        <v>444</v>
      </c>
      <c r="M53" s="7">
        <f>(L53-'Calibration Distilled Water'!$B$10)/'Calibration Distilled Water'!$B$9</f>
        <v>23.447434543286636</v>
      </c>
      <c r="N53" s="7">
        <f t="shared" si="3"/>
        <v>116.07640863013187</v>
      </c>
      <c r="O53" s="7">
        <f t="shared" si="4"/>
        <v>0.11607640863013187</v>
      </c>
    </row>
    <row r="54" spans="1:15" x14ac:dyDescent="0.3">
      <c r="A54" s="9" t="s">
        <v>26</v>
      </c>
      <c r="B54" s="9">
        <v>50.03</v>
      </c>
      <c r="C54" s="9">
        <f t="shared" si="0"/>
        <v>14.939999999999998</v>
      </c>
      <c r="D54" s="9">
        <v>1.02</v>
      </c>
      <c r="E54" s="9">
        <v>7.64</v>
      </c>
      <c r="F54" s="9">
        <f t="shared" si="1"/>
        <v>6.6199999999999992</v>
      </c>
      <c r="G54" s="9">
        <f>2.51-D54</f>
        <v>1.4899999999999998</v>
      </c>
      <c r="H54" s="9">
        <f t="shared" si="2"/>
        <v>5.129999999999999</v>
      </c>
      <c r="I54" s="9">
        <v>34.39</v>
      </c>
      <c r="J54" s="9">
        <v>1.03</v>
      </c>
      <c r="K54" s="9">
        <v>5.0000000000000001E-3</v>
      </c>
      <c r="L54" s="9">
        <f>277*2</f>
        <v>554</v>
      </c>
      <c r="M54" s="7">
        <f>(L54-'Calibration Distilled Water'!$B$10)/'Calibration Distilled Water'!$B$9</f>
        <v>29.416939799968421</v>
      </c>
      <c r="N54" s="7">
        <f>((M54*K54)/J54)*1000</f>
        <v>142.8006786406234</v>
      </c>
      <c r="O54" s="7">
        <f t="shared" si="4"/>
        <v>0.1428006786406234</v>
      </c>
    </row>
    <row r="55" spans="1:15" x14ac:dyDescent="0.3">
      <c r="A55" s="9" t="s">
        <v>4</v>
      </c>
      <c r="B55" s="9">
        <v>59.5</v>
      </c>
      <c r="C55" s="9">
        <f t="shared" si="0"/>
        <v>25.009999999999998</v>
      </c>
      <c r="D55" s="9">
        <v>0.99</v>
      </c>
      <c r="E55" s="9">
        <v>10.7</v>
      </c>
      <c r="F55" s="9">
        <f t="shared" si="1"/>
        <v>9.7099999999999991</v>
      </c>
      <c r="G55" s="9">
        <f>2.36-D55</f>
        <v>1.3699999999999999</v>
      </c>
      <c r="H55" s="9">
        <f t="shared" si="2"/>
        <v>8.34</v>
      </c>
      <c r="I55" s="9">
        <v>34.58</v>
      </c>
      <c r="J55" s="9">
        <v>1</v>
      </c>
      <c r="K55" s="9">
        <v>8.0000000000000002E-3</v>
      </c>
      <c r="L55" s="9">
        <f>159*2</f>
        <v>318</v>
      </c>
      <c r="M55" s="7">
        <f>(L55-'Calibration Distilled Water'!$B$10)/'Calibration Distilled Water'!$B$9</f>
        <v>16.609637612905683</v>
      </c>
      <c r="N55" s="7">
        <f t="shared" si="3"/>
        <v>132.87710090324546</v>
      </c>
      <c r="O55" s="7">
        <f t="shared" si="4"/>
        <v>0.13287710090324548</v>
      </c>
    </row>
    <row r="56" spans="1:15" x14ac:dyDescent="0.3">
      <c r="A56" s="9" t="s">
        <v>5</v>
      </c>
      <c r="B56" s="9">
        <v>60.82</v>
      </c>
      <c r="C56" s="9">
        <f t="shared" si="0"/>
        <v>26.21</v>
      </c>
      <c r="D56" s="9">
        <v>1.05</v>
      </c>
      <c r="E56" s="9">
        <v>9.9</v>
      </c>
      <c r="F56" s="9">
        <f t="shared" si="1"/>
        <v>8.85</v>
      </c>
      <c r="G56" s="9">
        <f>2.35-D56</f>
        <v>1.3</v>
      </c>
      <c r="H56" s="9">
        <f t="shared" si="2"/>
        <v>7.55</v>
      </c>
      <c r="I56" s="9">
        <v>34.46</v>
      </c>
      <c r="J56" s="9">
        <v>1</v>
      </c>
      <c r="K56" s="9">
        <v>8.0000000000000002E-3</v>
      </c>
      <c r="L56" s="9">
        <f>102.4*2</f>
        <v>204.8</v>
      </c>
      <c r="M56" s="7">
        <f>(L56-'Calibration Distilled Water'!$B$10)/'Calibration Distilled Water'!$B$9</f>
        <v>10.466474021484066</v>
      </c>
      <c r="N56" s="7">
        <f t="shared" si="3"/>
        <v>83.731792171872527</v>
      </c>
      <c r="O56" s="7">
        <f t="shared" si="4"/>
        <v>8.3731792171872529E-2</v>
      </c>
    </row>
    <row r="57" spans="1:15" x14ac:dyDescent="0.3">
      <c r="A57" s="9" t="s">
        <v>6</v>
      </c>
      <c r="B57" s="9">
        <v>63.77</v>
      </c>
      <c r="C57" s="9">
        <f t="shared" si="0"/>
        <v>29.200000000000003</v>
      </c>
      <c r="D57" s="9">
        <v>1.06</v>
      </c>
      <c r="E57" s="9">
        <v>10.33</v>
      </c>
      <c r="F57" s="9">
        <f t="shared" si="1"/>
        <v>9.27</v>
      </c>
      <c r="G57" s="9">
        <f>2.43-D57</f>
        <v>1.37</v>
      </c>
      <c r="H57" s="9">
        <f t="shared" si="2"/>
        <v>7.8999999999999995</v>
      </c>
      <c r="I57" s="9">
        <v>34.49</v>
      </c>
      <c r="J57" s="9">
        <v>1.02</v>
      </c>
      <c r="K57" s="9">
        <v>8.0000000000000002E-3</v>
      </c>
      <c r="L57" s="9">
        <f>111*2</f>
        <v>222</v>
      </c>
      <c r="M57" s="7">
        <f>(L57-'Calibration Distilled Water'!$B$10)/'Calibration Distilled Water'!$B$9</f>
        <v>11.399887570710671</v>
      </c>
      <c r="N57" s="7">
        <f t="shared" si="3"/>
        <v>89.410882907534685</v>
      </c>
      <c r="O57" s="7">
        <f t="shared" si="4"/>
        <v>8.9410882907534683E-2</v>
      </c>
    </row>
    <row r="58" spans="1:15" x14ac:dyDescent="0.3">
      <c r="A58" s="9" t="s">
        <v>3</v>
      </c>
      <c r="B58" s="9">
        <v>50.99</v>
      </c>
      <c r="C58" s="9">
        <f t="shared" si="0"/>
        <v>16.550000000000004</v>
      </c>
      <c r="D58" s="9">
        <v>1.0900000000000001</v>
      </c>
      <c r="E58" s="9">
        <v>10.52</v>
      </c>
      <c r="F58" s="9">
        <f t="shared" si="1"/>
        <v>9.43</v>
      </c>
      <c r="G58" s="9">
        <f>4.63-D58</f>
        <v>3.54</v>
      </c>
      <c r="H58" s="9">
        <f t="shared" si="2"/>
        <v>5.89</v>
      </c>
      <c r="M58" s="9" t="e">
        <f>(L58-'Calibration Distilled Water'!$B$32)/'Calibration Distilled Water'!$B$31</f>
        <v>#DIV/0!</v>
      </c>
      <c r="N58" s="9" t="e">
        <f>((M58*K58)/J61)*1000</f>
        <v>#DIV/0!</v>
      </c>
      <c r="O58" s="9" t="e">
        <f t="shared" si="4"/>
        <v>#DIV/0!</v>
      </c>
    </row>
    <row r="59" spans="1:15" x14ac:dyDescent="0.3">
      <c r="A59" s="9" t="s">
        <v>7</v>
      </c>
      <c r="B59" s="9">
        <v>48.99</v>
      </c>
      <c r="C59" s="9">
        <f t="shared" si="0"/>
        <v>13.660000000000004</v>
      </c>
      <c r="D59" s="9">
        <v>1.03</v>
      </c>
      <c r="E59" s="9">
        <v>8.23</v>
      </c>
      <c r="F59" s="9">
        <f t="shared" si="1"/>
        <v>7.2</v>
      </c>
      <c r="G59" s="9">
        <f>3.48-D59</f>
        <v>2.4500000000000002</v>
      </c>
      <c r="H59" s="9">
        <f t="shared" si="2"/>
        <v>4.75</v>
      </c>
      <c r="M59" s="9" t="e">
        <f>(L59-'Calibration Distilled Water'!$B$32)/'Calibration Distilled Water'!$B$31</f>
        <v>#DIV/0!</v>
      </c>
      <c r="N59" s="9" t="e">
        <f>((M59*K59)/J62)*1000</f>
        <v>#DIV/0!</v>
      </c>
      <c r="O59" s="9" t="e">
        <f t="shared" si="4"/>
        <v>#DIV/0!</v>
      </c>
    </row>
    <row r="60" spans="1:15" x14ac:dyDescent="0.3">
      <c r="A60" s="9" t="s">
        <v>8</v>
      </c>
      <c r="B60" s="9">
        <v>47.88</v>
      </c>
      <c r="C60" s="9">
        <f t="shared" si="0"/>
        <v>13.300000000000004</v>
      </c>
      <c r="D60" s="9">
        <v>1.01</v>
      </c>
      <c r="E60" s="9">
        <v>8.6300000000000008</v>
      </c>
      <c r="F60" s="9">
        <f t="shared" si="1"/>
        <v>7.620000000000001</v>
      </c>
      <c r="G60" s="9">
        <f>3.69-D60</f>
        <v>2.6799999999999997</v>
      </c>
      <c r="H60" s="9">
        <f t="shared" si="2"/>
        <v>4.9400000000000013</v>
      </c>
      <c r="M60" s="9" t="e">
        <f>(L60-'Calibration Distilled Water'!$B$32)/'Calibration Distilled Water'!$B$31</f>
        <v>#DIV/0!</v>
      </c>
      <c r="N60" s="9" t="e">
        <f>((M60*K60)/J63)*1000</f>
        <v>#DIV/0!</v>
      </c>
      <c r="O60" s="9" t="e">
        <f t="shared" si="4"/>
        <v>#DIV/0!</v>
      </c>
    </row>
    <row r="61" spans="1:15" x14ac:dyDescent="0.3">
      <c r="A61" s="9" t="s">
        <v>9</v>
      </c>
      <c r="B61" s="9">
        <v>47.22</v>
      </c>
      <c r="C61" s="9">
        <f t="shared" si="0"/>
        <v>12.64</v>
      </c>
      <c r="D61" s="9">
        <v>1.06</v>
      </c>
      <c r="E61" s="9">
        <v>8.32</v>
      </c>
      <c r="F61" s="9">
        <f t="shared" si="1"/>
        <v>7.26</v>
      </c>
      <c r="G61" s="9">
        <f>3.84-D61</f>
        <v>2.78</v>
      </c>
      <c r="H61" s="9">
        <f t="shared" si="2"/>
        <v>4.4800000000000004</v>
      </c>
      <c r="I61" s="9">
        <v>34.74</v>
      </c>
      <c r="J61" s="9">
        <v>1.03</v>
      </c>
      <c r="K61" s="9">
        <v>5.0000000000000001E-3</v>
      </c>
      <c r="M61" s="9" t="e">
        <f>(L61-'Calibration Distilled Water'!$B$32)/'Calibration Distilled Water'!$B$31</f>
        <v>#DIV/0!</v>
      </c>
      <c r="N61" s="9" t="e">
        <f>((M61*K61)/#REF!)*1000</f>
        <v>#DIV/0!</v>
      </c>
      <c r="O61" s="9" t="e">
        <f t="shared" si="4"/>
        <v>#DIV/0!</v>
      </c>
    </row>
    <row r="62" spans="1:15" x14ac:dyDescent="0.3">
      <c r="A62" s="9" t="s">
        <v>10</v>
      </c>
      <c r="B62" s="9">
        <v>47.19</v>
      </c>
      <c r="C62" s="9">
        <f t="shared" si="0"/>
        <v>11.659999999999997</v>
      </c>
      <c r="D62" s="9">
        <v>1.07</v>
      </c>
      <c r="E62" s="9">
        <v>6.65</v>
      </c>
      <c r="F62" s="9">
        <f t="shared" si="1"/>
        <v>5.58</v>
      </c>
      <c r="G62" s="9">
        <f>3.3-D62</f>
        <v>2.2299999999999995</v>
      </c>
      <c r="H62" s="9">
        <f t="shared" si="2"/>
        <v>3.3500000000000005</v>
      </c>
      <c r="I62" s="9">
        <v>34.71</v>
      </c>
      <c r="J62" s="9">
        <v>1.04</v>
      </c>
      <c r="K62" s="9">
        <v>5.0000000000000001E-3</v>
      </c>
      <c r="M62" s="9" t="e">
        <f>(L62-'Calibration Distilled Water'!$B$32)/'Calibration Distilled Water'!$B$31</f>
        <v>#DIV/0!</v>
      </c>
      <c r="N62" s="9" t="e">
        <f>((M62*K62)/#REF!)*1000</f>
        <v>#DIV/0!</v>
      </c>
      <c r="O62" s="9" t="e">
        <f t="shared" si="4"/>
        <v>#DIV/0!</v>
      </c>
    </row>
    <row r="63" spans="1:15" x14ac:dyDescent="0.3">
      <c r="A63" s="9" t="s">
        <v>11</v>
      </c>
      <c r="B63" s="9">
        <v>47.98</v>
      </c>
      <c r="C63" s="9">
        <f t="shared" si="0"/>
        <v>12.769999999999996</v>
      </c>
      <c r="D63" s="9">
        <v>1.08</v>
      </c>
      <c r="E63" s="9">
        <v>7.35</v>
      </c>
      <c r="F63" s="9">
        <f t="shared" si="1"/>
        <v>6.27</v>
      </c>
      <c r="G63" s="9">
        <f>3.3-D63</f>
        <v>2.2199999999999998</v>
      </c>
      <c r="H63" s="9">
        <f t="shared" si="2"/>
        <v>4.05</v>
      </c>
      <c r="I63" s="9">
        <v>34.51</v>
      </c>
      <c r="J63" s="9">
        <v>1.02</v>
      </c>
      <c r="K63" s="9">
        <v>5.0000000000000001E-3</v>
      </c>
      <c r="M63" s="9" t="e">
        <f>(L63-'Calibration Distilled Water'!$B$32)/'Calibration Distilled Water'!$B$31</f>
        <v>#DIV/0!</v>
      </c>
      <c r="N63" s="9" t="e">
        <f>((M63*K63)/#REF!)*1000</f>
        <v>#DIV/0!</v>
      </c>
      <c r="O63" s="9" t="e">
        <f t="shared" si="4"/>
        <v>#DIV/0!</v>
      </c>
    </row>
    <row r="64" spans="1:15" x14ac:dyDescent="0.3">
      <c r="A64" s="9" t="s">
        <v>12</v>
      </c>
      <c r="B64" s="9">
        <v>42.98</v>
      </c>
      <c r="C64" s="9">
        <f t="shared" si="0"/>
        <v>8.3799999999999955</v>
      </c>
      <c r="D64" s="9">
        <v>1.08</v>
      </c>
      <c r="E64" s="9">
        <v>8.23</v>
      </c>
      <c r="F64" s="9">
        <f t="shared" si="1"/>
        <v>7.15</v>
      </c>
      <c r="G64" s="9">
        <f>4.38-D64</f>
        <v>3.3</v>
      </c>
      <c r="H64" s="9">
        <f t="shared" si="2"/>
        <v>3.8500000000000005</v>
      </c>
      <c r="M64" s="9" t="e">
        <f>(L64-'Calibration Distilled Water'!$B$32)/'Calibration Distilled Water'!$B$31</f>
        <v>#DIV/0!</v>
      </c>
      <c r="N64" s="9" t="e">
        <f t="shared" si="3"/>
        <v>#DIV/0!</v>
      </c>
      <c r="O64" s="9" t="e">
        <f t="shared" si="4"/>
        <v>#DIV/0!</v>
      </c>
    </row>
    <row r="65" spans="1:17" x14ac:dyDescent="0.3">
      <c r="A65" s="9" t="s">
        <v>13</v>
      </c>
      <c r="B65" s="9">
        <v>43.44</v>
      </c>
      <c r="C65" s="9">
        <f t="shared" si="0"/>
        <v>7.6400000000000006</v>
      </c>
      <c r="D65" s="9">
        <v>1.04</v>
      </c>
      <c r="E65" s="9">
        <v>8.65</v>
      </c>
      <c r="F65" s="9">
        <f t="shared" si="1"/>
        <v>7.61</v>
      </c>
      <c r="G65" s="9">
        <f>3.48-D65</f>
        <v>2.44</v>
      </c>
      <c r="H65" s="9">
        <f t="shared" si="2"/>
        <v>5.17</v>
      </c>
      <c r="M65" s="9" t="e">
        <f>(L65-'Calibration Distilled Water'!$B$32)/'Calibration Distilled Water'!$B$31</f>
        <v>#DIV/0!</v>
      </c>
      <c r="N65" s="9" t="e">
        <f t="shared" si="3"/>
        <v>#DIV/0!</v>
      </c>
      <c r="O65" s="9" t="e">
        <f t="shared" si="4"/>
        <v>#DIV/0!</v>
      </c>
    </row>
    <row r="66" spans="1:17" x14ac:dyDescent="0.3">
      <c r="A66" s="9" t="s">
        <v>14</v>
      </c>
      <c r="B66" s="9">
        <v>43.42</v>
      </c>
      <c r="C66" s="9">
        <f t="shared" si="0"/>
        <v>8.5399999999999991</v>
      </c>
      <c r="D66" s="9">
        <v>1.0900000000000001</v>
      </c>
      <c r="E66" s="9">
        <v>6.33</v>
      </c>
      <c r="F66" s="9">
        <f t="shared" si="1"/>
        <v>5.24</v>
      </c>
      <c r="G66" s="9">
        <f>3.69-D66</f>
        <v>2.5999999999999996</v>
      </c>
      <c r="H66" s="9">
        <f t="shared" si="2"/>
        <v>2.6400000000000006</v>
      </c>
      <c r="M66" s="9" t="e">
        <f>(L66-'Calibration Distilled Water'!$B$32)/'Calibration Distilled Water'!$B$31</f>
        <v>#DIV/0!</v>
      </c>
      <c r="N66" s="9" t="e">
        <f t="shared" si="3"/>
        <v>#DIV/0!</v>
      </c>
      <c r="O66" s="9" t="e">
        <f t="shared" si="4"/>
        <v>#DIV/0!</v>
      </c>
    </row>
    <row r="68" spans="1:17" ht="15" thickBot="1" x14ac:dyDescent="0.35"/>
    <row r="69" spans="1:17" ht="15" thickBot="1" x14ac:dyDescent="0.35">
      <c r="A69" s="53" t="s">
        <v>100</v>
      </c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5"/>
    </row>
    <row r="70" spans="1:17" ht="57.6" x14ac:dyDescent="0.3">
      <c r="A70" s="11" t="s">
        <v>94</v>
      </c>
      <c r="B70" s="11" t="s">
        <v>105</v>
      </c>
      <c r="C70" s="11" t="s">
        <v>106</v>
      </c>
      <c r="D70" s="11" t="s">
        <v>121</v>
      </c>
      <c r="E70" s="11" t="s">
        <v>107</v>
      </c>
      <c r="F70" s="11" t="s">
        <v>96</v>
      </c>
      <c r="G70" s="11" t="s">
        <v>108</v>
      </c>
      <c r="H70" s="11" t="s">
        <v>97</v>
      </c>
      <c r="I70" s="11" t="s">
        <v>109</v>
      </c>
      <c r="J70" s="11" t="s">
        <v>98</v>
      </c>
      <c r="K70" s="11" t="s">
        <v>110</v>
      </c>
      <c r="L70" s="11" t="s">
        <v>115</v>
      </c>
      <c r="M70" s="11" t="s">
        <v>111</v>
      </c>
      <c r="N70" s="11" t="s">
        <v>112</v>
      </c>
      <c r="O70" s="11" t="s">
        <v>113</v>
      </c>
      <c r="P70" s="11" t="s">
        <v>120</v>
      </c>
    </row>
    <row r="71" spans="1:17" x14ac:dyDescent="0.3">
      <c r="A71" s="9" t="s">
        <v>15</v>
      </c>
      <c r="B71" s="9">
        <f t="shared" ref="B71:B91" si="5">0.1018/2</f>
        <v>5.0900000000000001E-2</v>
      </c>
      <c r="C71" s="9">
        <f>B71*0.05</f>
        <v>2.5450000000000004E-3</v>
      </c>
      <c r="D71" s="12">
        <f>(F3*0.05)/1000</f>
        <v>8.730824408861496E-4</v>
      </c>
      <c r="E71" s="24">
        <f>D71/C71</f>
        <v>0.34305793355054987</v>
      </c>
      <c r="F71" s="12">
        <f>(H3*0.048)/1000</f>
        <v>1.8277511637656463E-3</v>
      </c>
      <c r="G71" s="25">
        <f>F71/C71</f>
        <v>0.71817334529102006</v>
      </c>
      <c r="H71" s="12">
        <f>(J3*0.046)/1000</f>
        <v>1.8174982033091777E-3</v>
      </c>
      <c r="I71" s="25">
        <f>H71/C71</f>
        <v>0.71414467713523677</v>
      </c>
      <c r="J71" s="12">
        <f>(L3*0.044)/1000</f>
        <v>1.5708528346881105E-3</v>
      </c>
      <c r="K71" s="25">
        <f>J71/C71</f>
        <v>0.61723097630181145</v>
      </c>
      <c r="L71" s="9" t="e">
        <f>(O46*G46)/1000</f>
        <v>#DIV/0!</v>
      </c>
      <c r="M71" s="12">
        <f>(C71-J71)</f>
        <v>9.7414716531188991E-4</v>
      </c>
      <c r="N71" s="25">
        <f t="shared" ref="N71:N91" si="6">100% -K71</f>
        <v>0.38276902369818855</v>
      </c>
      <c r="O71" s="23" t="e">
        <f>L71/C71</f>
        <v>#DIV/0!</v>
      </c>
    </row>
    <row r="72" spans="1:17" x14ac:dyDescent="0.3">
      <c r="A72" s="9" t="s">
        <v>16</v>
      </c>
      <c r="B72" s="9">
        <f t="shared" si="5"/>
        <v>5.0900000000000001E-2</v>
      </c>
      <c r="C72" s="9">
        <f t="shared" ref="C72:C91" si="7">B72*0.05</f>
        <v>2.5450000000000004E-3</v>
      </c>
      <c r="D72" s="12">
        <f t="shared" ref="D72:D91" si="8">(F4*0.05)/1000</f>
        <v>2.22680342841276E-3</v>
      </c>
      <c r="E72" s="24">
        <f t="shared" ref="E72:E91" si="9">D72/C72</f>
        <v>0.8749718775688643</v>
      </c>
      <c r="F72" s="12">
        <f t="shared" ref="F72:F91" si="10">(H4*0.048)/1000</f>
        <v>1.9564319898078631E-3</v>
      </c>
      <c r="G72" s="25">
        <f t="shared" ref="G72:G91" si="11">F72/C72</f>
        <v>0.76873555591664544</v>
      </c>
      <c r="H72" s="12">
        <f t="shared" ref="H72:H91" si="12">(J4*0.046)/1000</f>
        <v>1.8239886835700789E-3</v>
      </c>
      <c r="I72" s="25">
        <f t="shared" ref="I72:I91" si="13">H72/C72</f>
        <v>0.71669496407468714</v>
      </c>
      <c r="J72" s="12">
        <f t="shared" ref="J72:J91" si="14">(L4*0.044)/1000</f>
        <v>1.8306457034589021E-3</v>
      </c>
      <c r="K72" s="25">
        <f t="shared" ref="K72:K91" si="15">J72/C72</f>
        <v>0.71931068898188677</v>
      </c>
      <c r="L72" s="9" t="e">
        <f t="shared" ref="L72:L91" si="16">(O47*G47)/1000</f>
        <v>#DIV/0!</v>
      </c>
      <c r="M72" s="12">
        <f t="shared" ref="M72:M91" si="17">(C72-J72)</f>
        <v>7.1435429654109826E-4</v>
      </c>
      <c r="N72" s="25">
        <f t="shared" si="6"/>
        <v>0.28068931101811323</v>
      </c>
      <c r="O72" s="23" t="e">
        <f t="shared" ref="O72:O91" si="18">L72/C72</f>
        <v>#DIV/0!</v>
      </c>
    </row>
    <row r="73" spans="1:17" x14ac:dyDescent="0.3">
      <c r="A73" s="9" t="s">
        <v>17</v>
      </c>
      <c r="B73" s="9">
        <f t="shared" si="5"/>
        <v>5.0900000000000001E-2</v>
      </c>
      <c r="C73" s="9">
        <f t="shared" si="7"/>
        <v>2.5450000000000004E-3</v>
      </c>
      <c r="D73" s="12">
        <f t="shared" si="8"/>
        <v>1.5299993602691769E-3</v>
      </c>
      <c r="E73" s="24">
        <f t="shared" si="9"/>
        <v>0.60117853055763326</v>
      </c>
      <c r="F73" s="12">
        <f t="shared" si="10"/>
        <v>1.3218844346685103E-3</v>
      </c>
      <c r="G73" s="25">
        <f t="shared" si="11"/>
        <v>0.51940449299352065</v>
      </c>
      <c r="H73" s="12">
        <f t="shared" si="12"/>
        <v>1.2423417986508485E-3</v>
      </c>
      <c r="I73" s="25">
        <f t="shared" si="13"/>
        <v>0.48815001911624689</v>
      </c>
      <c r="J73" s="12">
        <f t="shared" si="14"/>
        <v>1.1754328064855094E-3</v>
      </c>
      <c r="K73" s="25">
        <f t="shared" si="15"/>
        <v>0.46185964891375608</v>
      </c>
      <c r="L73" s="9" t="e">
        <f t="shared" si="16"/>
        <v>#DIV/0!</v>
      </c>
      <c r="M73" s="12">
        <f t="shared" si="17"/>
        <v>1.369567193514491E-3</v>
      </c>
      <c r="N73" s="25">
        <f t="shared" si="6"/>
        <v>0.53814035108624392</v>
      </c>
      <c r="O73" s="23" t="e">
        <f t="shared" si="18"/>
        <v>#DIV/0!</v>
      </c>
    </row>
    <row r="74" spans="1:17" x14ac:dyDescent="0.3">
      <c r="A74" s="9" t="s">
        <v>27</v>
      </c>
      <c r="B74" s="9">
        <f t="shared" si="5"/>
        <v>5.0900000000000001E-2</v>
      </c>
      <c r="C74" s="9">
        <f t="shared" si="7"/>
        <v>2.5450000000000004E-3</v>
      </c>
      <c r="D74" s="12">
        <f t="shared" si="8"/>
        <v>1.6868345438310894E-3</v>
      </c>
      <c r="E74" s="24">
        <f t="shared" si="9"/>
        <v>0.66280335710455374</v>
      </c>
      <c r="F74" s="12">
        <f t="shared" si="10"/>
        <v>1.5464246614871155E-3</v>
      </c>
      <c r="G74" s="25">
        <f t="shared" si="11"/>
        <v>0.60763247995564451</v>
      </c>
      <c r="H74" s="12">
        <f t="shared" si="12"/>
        <v>2.68372768428331E-3</v>
      </c>
      <c r="I74" s="25">
        <f t="shared" si="13"/>
        <v>1.054509895592656</v>
      </c>
      <c r="J74" s="12">
        <f t="shared" si="14"/>
        <v>1.3740979414278791E-3</v>
      </c>
      <c r="K74" s="25">
        <f t="shared" si="15"/>
        <v>0.5399206056691076</v>
      </c>
      <c r="L74" s="9" t="e">
        <f t="shared" si="16"/>
        <v>#DIV/0!</v>
      </c>
      <c r="M74" s="12">
        <f t="shared" si="17"/>
        <v>1.1709020585721213E-3</v>
      </c>
      <c r="N74" s="25">
        <f t="shared" si="6"/>
        <v>0.4600793943308924</v>
      </c>
      <c r="O74" s="23" t="e">
        <f t="shared" si="18"/>
        <v>#DIV/0!</v>
      </c>
    </row>
    <row r="75" spans="1:17" x14ac:dyDescent="0.3">
      <c r="A75" s="9" t="s">
        <v>28</v>
      </c>
      <c r="B75" s="9">
        <f t="shared" si="5"/>
        <v>5.0900000000000001E-2</v>
      </c>
      <c r="C75" s="9">
        <f t="shared" si="7"/>
        <v>2.5450000000000004E-3</v>
      </c>
      <c r="D75" s="12">
        <f t="shared" si="8"/>
        <v>2.0911328543972651E-3</v>
      </c>
      <c r="E75" s="24">
        <f t="shared" si="9"/>
        <v>0.8216632040853693</v>
      </c>
      <c r="F75" s="12">
        <f t="shared" si="10"/>
        <v>1.7152205628542339E-3</v>
      </c>
      <c r="G75" s="25">
        <f t="shared" si="11"/>
        <v>0.6739569991568698</v>
      </c>
      <c r="H75" s="12">
        <f t="shared" si="12"/>
        <v>1.6986724877634462E-3</v>
      </c>
      <c r="I75" s="25">
        <f t="shared" si="13"/>
        <v>0.66745480855145223</v>
      </c>
      <c r="J75" s="12">
        <f t="shared" si="14"/>
        <v>1.5928206140326997E-3</v>
      </c>
      <c r="K75" s="25">
        <f t="shared" si="15"/>
        <v>0.62586271671225913</v>
      </c>
      <c r="L75" s="9" t="e">
        <f t="shared" si="16"/>
        <v>#DIV/0!</v>
      </c>
      <c r="M75" s="12">
        <f t="shared" si="17"/>
        <v>9.521793859673007E-4</v>
      </c>
      <c r="N75" s="25">
        <f t="shared" si="6"/>
        <v>0.37413728328774087</v>
      </c>
      <c r="O75" s="23" t="e">
        <f t="shared" si="18"/>
        <v>#DIV/0!</v>
      </c>
    </row>
    <row r="76" spans="1:17" x14ac:dyDescent="0.3">
      <c r="A76" s="9" t="s">
        <v>29</v>
      </c>
      <c r="B76" s="9">
        <f t="shared" si="5"/>
        <v>5.0900000000000001E-2</v>
      </c>
      <c r="C76" s="9">
        <f t="shared" si="7"/>
        <v>2.5450000000000004E-3</v>
      </c>
      <c r="D76" s="12">
        <f t="shared" si="8"/>
        <v>1.9174745196574312E-3</v>
      </c>
      <c r="E76" s="24">
        <f t="shared" si="9"/>
        <v>0.75342810202649546</v>
      </c>
      <c r="F76" s="12">
        <f t="shared" si="10"/>
        <v>1.7074059377909412E-3</v>
      </c>
      <c r="G76" s="25">
        <f t="shared" si="11"/>
        <v>0.67088641956422046</v>
      </c>
      <c r="H76" s="12">
        <f t="shared" si="12"/>
        <v>1.6767047084188576E-3</v>
      </c>
      <c r="I76" s="25">
        <f t="shared" si="13"/>
        <v>0.65882306814100489</v>
      </c>
      <c r="J76" s="12">
        <f t="shared" si="14"/>
        <v>1.5751508784729216E-3</v>
      </c>
      <c r="K76" s="25">
        <f t="shared" si="15"/>
        <v>0.61891979507776873</v>
      </c>
      <c r="L76" s="9" t="e">
        <f t="shared" si="16"/>
        <v>#DIV/0!</v>
      </c>
      <c r="M76" s="12">
        <f t="shared" si="17"/>
        <v>9.6984912152707882E-4</v>
      </c>
      <c r="N76" s="25">
        <f t="shared" si="6"/>
        <v>0.38108020492223127</v>
      </c>
      <c r="O76" s="23" t="e">
        <f t="shared" si="18"/>
        <v>#DIV/0!</v>
      </c>
    </row>
    <row r="77" spans="1:17" x14ac:dyDescent="0.3">
      <c r="A77" s="9" t="s">
        <v>30</v>
      </c>
      <c r="B77" s="9">
        <f t="shared" si="5"/>
        <v>5.0900000000000001E-2</v>
      </c>
      <c r="C77" s="9">
        <f t="shared" si="7"/>
        <v>2.5450000000000004E-3</v>
      </c>
      <c r="D77" s="12">
        <f t="shared" si="8"/>
        <v>5.5805536802217004E-4</v>
      </c>
      <c r="E77" s="24">
        <f t="shared" si="9"/>
        <v>0.21927519372187423</v>
      </c>
      <c r="F77" s="12">
        <f t="shared" si="10"/>
        <v>3.8465040207762786E-4</v>
      </c>
      <c r="G77" s="25">
        <f t="shared" si="11"/>
        <v>0.15113964718177911</v>
      </c>
      <c r="H77" s="12">
        <f t="shared" si="12"/>
        <v>2.8724266487360544E-4</v>
      </c>
      <c r="I77" s="25">
        <f t="shared" si="13"/>
        <v>0.11286548718019858</v>
      </c>
      <c r="J77" s="12">
        <f t="shared" si="14"/>
        <v>2.5374119485384187E-4</v>
      </c>
      <c r="K77" s="25">
        <f t="shared" si="15"/>
        <v>9.9701844736283629E-2</v>
      </c>
      <c r="L77" s="12">
        <f>(O52*C9)/1000</f>
        <v>5.0614022491302384E-4</v>
      </c>
      <c r="M77" s="12">
        <f t="shared" si="17"/>
        <v>2.2912588051461585E-3</v>
      </c>
      <c r="N77" s="25">
        <f t="shared" si="6"/>
        <v>0.90029815526371637</v>
      </c>
      <c r="O77" s="23">
        <f>L77/C77</f>
        <v>0.19887631627230795</v>
      </c>
      <c r="P77" s="25">
        <f>100%-O77-K77</f>
        <v>0.70142183899140842</v>
      </c>
      <c r="Q77" s="27"/>
    </row>
    <row r="78" spans="1:17" x14ac:dyDescent="0.3">
      <c r="A78" s="9" t="s">
        <v>31</v>
      </c>
      <c r="B78" s="9">
        <f t="shared" si="5"/>
        <v>5.0900000000000001E-2</v>
      </c>
      <c r="C78" s="9">
        <f t="shared" si="7"/>
        <v>2.5450000000000004E-3</v>
      </c>
      <c r="D78" s="12">
        <f t="shared" si="8"/>
        <v>6.5628086360938862E-4</v>
      </c>
      <c r="E78" s="24">
        <f t="shared" si="9"/>
        <v>0.25787067332392477</v>
      </c>
      <c r="F78" s="12">
        <f t="shared" si="10"/>
        <v>2.3356765085397253E-4</v>
      </c>
      <c r="G78" s="25">
        <f t="shared" si="11"/>
        <v>9.177510839055894E-2</v>
      </c>
      <c r="H78" s="12">
        <f t="shared" si="12"/>
        <v>2.2383566540172368E-4</v>
      </c>
      <c r="I78" s="25">
        <f t="shared" si="13"/>
        <v>8.7951145540952319E-2</v>
      </c>
      <c r="J78" s="12">
        <f t="shared" si="14"/>
        <v>2.49443151069031E-4</v>
      </c>
      <c r="K78" s="25">
        <f t="shared" si="15"/>
        <v>9.8013025960326502E-2</v>
      </c>
      <c r="L78" s="12">
        <f t="shared" ref="L78:L79" si="19">(O53*C10)/1000</f>
        <v>5.8734662766846721E-4</v>
      </c>
      <c r="M78" s="12">
        <f t="shared" si="17"/>
        <v>2.2955568489309696E-3</v>
      </c>
      <c r="N78" s="25">
        <f t="shared" si="6"/>
        <v>0.90198697403967354</v>
      </c>
      <c r="O78" s="23">
        <f>L78/C78</f>
        <v>0.23078452953574347</v>
      </c>
      <c r="P78" s="25">
        <f t="shared" ref="P78:P82" si="20">100%-O78-K78</f>
        <v>0.67120244450393007</v>
      </c>
      <c r="Q78" s="27"/>
    </row>
    <row r="79" spans="1:17" x14ac:dyDescent="0.3">
      <c r="A79" s="9" t="s">
        <v>32</v>
      </c>
      <c r="B79" s="9">
        <f t="shared" si="5"/>
        <v>5.0900000000000001E-2</v>
      </c>
      <c r="C79" s="9">
        <f t="shared" si="7"/>
        <v>2.5450000000000004E-3</v>
      </c>
      <c r="D79" s="12">
        <f t="shared" si="8"/>
        <v>1.192993654414687E-3</v>
      </c>
      <c r="E79" s="24">
        <f t="shared" si="9"/>
        <v>0.46875978562463133</v>
      </c>
      <c r="F79" s="12">
        <f t="shared" si="10"/>
        <v>9.7283118184144474E-4</v>
      </c>
      <c r="G79" s="25">
        <f t="shared" si="11"/>
        <v>0.38225193785518452</v>
      </c>
      <c r="H79" s="12">
        <f t="shared" si="12"/>
        <v>9.3129801383996379E-4</v>
      </c>
      <c r="I79" s="25">
        <f t="shared" si="13"/>
        <v>0.36593242194104664</v>
      </c>
      <c r="J79" s="12">
        <f t="shared" si="14"/>
        <v>8.9510483963173271E-4</v>
      </c>
      <c r="K79" s="25">
        <f t="shared" si="15"/>
        <v>0.35171113541521909</v>
      </c>
      <c r="L79" s="12">
        <f t="shared" si="19"/>
        <v>7.1543139998952326E-4</v>
      </c>
      <c r="M79" s="12">
        <f t="shared" si="17"/>
        <v>1.6498951603682677E-3</v>
      </c>
      <c r="N79" s="25">
        <f>100% -K79</f>
        <v>0.64828886458478086</v>
      </c>
      <c r="O79" s="23">
        <f t="shared" si="18"/>
        <v>0.28111253437702283</v>
      </c>
      <c r="P79" s="25">
        <f t="shared" si="20"/>
        <v>0.36717633020775803</v>
      </c>
      <c r="Q79" s="27"/>
    </row>
    <row r="80" spans="1:17" x14ac:dyDescent="0.3">
      <c r="A80" s="9" t="s">
        <v>33</v>
      </c>
      <c r="B80" s="9">
        <f t="shared" si="5"/>
        <v>5.0900000000000001E-2</v>
      </c>
      <c r="C80" s="9">
        <f t="shared" si="7"/>
        <v>2.5450000000000004E-3</v>
      </c>
      <c r="D80" s="12">
        <f t="shared" si="8"/>
        <v>4.7448229442862512E-4</v>
      </c>
      <c r="E80" s="24">
        <f t="shared" si="9"/>
        <v>0.18643705085604129</v>
      </c>
      <c r="F80" s="12">
        <f t="shared" si="10"/>
        <v>1.6688285031387639E-4</v>
      </c>
      <c r="G80" s="25">
        <f t="shared" si="11"/>
        <v>6.5572829199951416E-2</v>
      </c>
      <c r="H80" s="12">
        <f t="shared" si="12"/>
        <v>8.50392413609116E-5</v>
      </c>
      <c r="I80" s="25">
        <f t="shared" si="13"/>
        <v>3.3414240220397483E-2</v>
      </c>
      <c r="J80" s="12">
        <f t="shared" si="14"/>
        <v>7.1313114209646541E-5</v>
      </c>
      <c r="K80" s="25">
        <f t="shared" si="15"/>
        <v>2.8020870023436752E-2</v>
      </c>
      <c r="L80" s="12">
        <f>(O55*C12)/1000</f>
        <v>6.6571427552525981E-4</v>
      </c>
      <c r="M80" s="12">
        <f t="shared" si="17"/>
        <v>2.4736868857903539E-3</v>
      </c>
      <c r="N80" s="25">
        <f t="shared" si="6"/>
        <v>0.97197912997656322</v>
      </c>
      <c r="O80" s="23">
        <f t="shared" si="18"/>
        <v>0.2615773184775087</v>
      </c>
      <c r="P80" s="25">
        <f t="shared" si="20"/>
        <v>0.71040181149905446</v>
      </c>
      <c r="Q80" s="27"/>
    </row>
    <row r="81" spans="1:17" x14ac:dyDescent="0.3">
      <c r="A81" s="9" t="s">
        <v>34</v>
      </c>
      <c r="B81" s="9">
        <f t="shared" si="5"/>
        <v>5.0900000000000001E-2</v>
      </c>
      <c r="C81" s="9">
        <f t="shared" si="7"/>
        <v>2.5450000000000004E-3</v>
      </c>
      <c r="D81" s="12">
        <f t="shared" si="8"/>
        <v>5.0758591448840597E-4</v>
      </c>
      <c r="E81" s="24">
        <f t="shared" si="9"/>
        <v>0.1994443671860141</v>
      </c>
      <c r="F81" s="12">
        <f t="shared" si="10"/>
        <v>1.8407502545311993E-4</v>
      </c>
      <c r="G81" s="25">
        <f t="shared" si="11"/>
        <v>7.2328104303779922E-2</v>
      </c>
      <c r="H81" s="12">
        <f t="shared" si="12"/>
        <v>1.284755323377125E-4</v>
      </c>
      <c r="I81" s="25">
        <f t="shared" si="13"/>
        <v>5.0481545122873277E-2</v>
      </c>
      <c r="J81" s="12">
        <f t="shared" si="14"/>
        <v>1.1954671668363537E-4</v>
      </c>
      <c r="K81" s="25">
        <f t="shared" si="15"/>
        <v>4.697316962028894E-2</v>
      </c>
      <c r="L81" s="12">
        <f t="shared" ref="L81:L82" si="21">(O56*C13)/1000</f>
        <v>4.1949627878108139E-4</v>
      </c>
      <c r="M81" s="12">
        <f t="shared" si="17"/>
        <v>2.4254532833163649E-3</v>
      </c>
      <c r="N81" s="25">
        <f t="shared" si="6"/>
        <v>0.95302683037971103</v>
      </c>
      <c r="O81" s="23">
        <f t="shared" si="18"/>
        <v>0.16483154372537576</v>
      </c>
      <c r="P81" s="25">
        <f t="shared" si="20"/>
        <v>0.78819528665433525</v>
      </c>
      <c r="Q81" s="27"/>
    </row>
    <row r="82" spans="1:17" x14ac:dyDescent="0.3">
      <c r="A82" s="9" t="s">
        <v>35</v>
      </c>
      <c r="B82" s="9">
        <f t="shared" si="5"/>
        <v>5.0900000000000001E-2</v>
      </c>
      <c r="C82" s="9">
        <f t="shared" si="7"/>
        <v>2.5450000000000004E-3</v>
      </c>
      <c r="D82" s="12">
        <f t="shared" si="8"/>
        <v>8.6195745381687915E-4</v>
      </c>
      <c r="E82" s="24">
        <f t="shared" si="9"/>
        <v>0.33868662232490337</v>
      </c>
      <c r="F82" s="12">
        <f t="shared" si="10"/>
        <v>2.8983295130967867E-4</v>
      </c>
      <c r="G82" s="25">
        <f t="shared" si="11"/>
        <v>0.11388328145763403</v>
      </c>
      <c r="H82" s="12">
        <f t="shared" si="12"/>
        <v>1.3696308344812185E-4</v>
      </c>
      <c r="I82" s="25">
        <f t="shared" si="13"/>
        <v>5.3816535736000717E-2</v>
      </c>
      <c r="J82" s="12">
        <f t="shared" si="14"/>
        <v>1.2097939794523901E-4</v>
      </c>
      <c r="K82" s="25">
        <f t="shared" si="15"/>
        <v>4.7536109212274656E-2</v>
      </c>
      <c r="L82" s="12">
        <f t="shared" si="21"/>
        <v>4.5152495868305012E-4</v>
      </c>
      <c r="M82" s="12">
        <f t="shared" si="17"/>
        <v>2.4240206020547613E-3</v>
      </c>
      <c r="N82" s="25">
        <f t="shared" si="6"/>
        <v>0.95246389078772531</v>
      </c>
      <c r="O82" s="23">
        <f t="shared" si="18"/>
        <v>0.17741648671239688</v>
      </c>
      <c r="P82" s="25">
        <f t="shared" si="20"/>
        <v>0.77504740407532846</v>
      </c>
      <c r="Q82" s="27"/>
    </row>
    <row r="83" spans="1:17" x14ac:dyDescent="0.3">
      <c r="A83" s="9" t="s">
        <v>36</v>
      </c>
      <c r="B83" s="9">
        <f t="shared" si="5"/>
        <v>5.0900000000000001E-2</v>
      </c>
      <c r="C83" s="9">
        <f t="shared" si="7"/>
        <v>2.5450000000000004E-3</v>
      </c>
      <c r="D83" s="12">
        <f t="shared" si="8"/>
        <v>9.6398172547653143E-4</v>
      </c>
      <c r="E83" s="24">
        <f t="shared" si="9"/>
        <v>0.37877474478449163</v>
      </c>
      <c r="F83" s="12">
        <f t="shared" si="10"/>
        <v>5.3469120329284426E-4</v>
      </c>
      <c r="G83" s="25">
        <f t="shared" si="11"/>
        <v>0.21009477536064605</v>
      </c>
      <c r="H83" s="12">
        <f t="shared" si="12"/>
        <v>3.7161890826532216E-4</v>
      </c>
      <c r="I83" s="25">
        <f t="shared" si="13"/>
        <v>0.14601921739305387</v>
      </c>
      <c r="J83" s="12">
        <f t="shared" si="14"/>
        <v>4.5431657147834974E-4</v>
      </c>
      <c r="K83" s="25">
        <f t="shared" si="15"/>
        <v>0.17851338761428279</v>
      </c>
      <c r="L83" s="9" t="e">
        <f t="shared" si="16"/>
        <v>#DIV/0!</v>
      </c>
      <c r="M83" s="12">
        <f t="shared" si="17"/>
        <v>2.0906834285216508E-3</v>
      </c>
      <c r="N83" s="25">
        <f t="shared" si="6"/>
        <v>0.82148661238571719</v>
      </c>
      <c r="O83" s="23" t="e">
        <f t="shared" si="18"/>
        <v>#DIV/0!</v>
      </c>
    </row>
    <row r="84" spans="1:17" x14ac:dyDescent="0.3">
      <c r="A84" s="9" t="s">
        <v>40</v>
      </c>
      <c r="B84" s="9">
        <f t="shared" si="5"/>
        <v>5.0900000000000001E-2</v>
      </c>
      <c r="C84" s="9">
        <f t="shared" si="7"/>
        <v>2.5450000000000004E-3</v>
      </c>
      <c r="D84" s="12">
        <f t="shared" si="8"/>
        <v>1.1029083932683982E-3</v>
      </c>
      <c r="E84" s="24">
        <f t="shared" si="9"/>
        <v>0.43336282643159058</v>
      </c>
      <c r="F84" s="12">
        <f t="shared" si="10"/>
        <v>6.9150467956291409E-4</v>
      </c>
      <c r="G84" s="25">
        <f t="shared" si="11"/>
        <v>0.27171107251980903</v>
      </c>
      <c r="H84" s="12">
        <f t="shared" si="12"/>
        <v>5.243948282526909E-4</v>
      </c>
      <c r="I84" s="25">
        <f t="shared" si="13"/>
        <v>0.20604904842934807</v>
      </c>
      <c r="J84" s="12">
        <f t="shared" si="14"/>
        <v>5.2404039287639302E-4</v>
      </c>
      <c r="K84" s="25">
        <f t="shared" si="15"/>
        <v>0.20590978109092059</v>
      </c>
      <c r="L84" s="9" t="e">
        <f t="shared" si="16"/>
        <v>#DIV/0!</v>
      </c>
      <c r="M84" s="12">
        <f t="shared" si="17"/>
        <v>2.0209596071236076E-3</v>
      </c>
      <c r="N84" s="25">
        <f t="shared" si="6"/>
        <v>0.79409021890907938</v>
      </c>
      <c r="O84" s="23" t="e">
        <f t="shared" si="18"/>
        <v>#DIV/0!</v>
      </c>
    </row>
    <row r="85" spans="1:17" x14ac:dyDescent="0.3">
      <c r="A85" s="9" t="s">
        <v>41</v>
      </c>
      <c r="B85" s="9">
        <f t="shared" si="5"/>
        <v>5.0900000000000001E-2</v>
      </c>
      <c r="C85" s="9">
        <f t="shared" si="7"/>
        <v>2.5450000000000004E-3</v>
      </c>
      <c r="D85" s="12">
        <f t="shared" si="8"/>
        <v>1.7557551954309606E-3</v>
      </c>
      <c r="E85" s="24">
        <f t="shared" si="9"/>
        <v>0.68988416323416912</v>
      </c>
      <c r="F85" s="12">
        <f t="shared" si="10"/>
        <v>1.334908809773998E-3</v>
      </c>
      <c r="G85" s="25">
        <f t="shared" si="11"/>
        <v>0.52452212564793621</v>
      </c>
      <c r="H85" s="12">
        <f t="shared" si="12"/>
        <v>1.0775834535664312E-3</v>
      </c>
      <c r="I85" s="25">
        <f t="shared" si="13"/>
        <v>0.42341196603789039</v>
      </c>
      <c r="J85" s="12">
        <f t="shared" si="14"/>
        <v>9.1993798149952902E-4</v>
      </c>
      <c r="K85" s="25">
        <f t="shared" si="15"/>
        <v>0.36146875500963804</v>
      </c>
      <c r="L85" s="9" t="e">
        <f t="shared" si="16"/>
        <v>#DIV/0!</v>
      </c>
      <c r="M85" s="12">
        <f t="shared" si="17"/>
        <v>1.6250620185004714E-3</v>
      </c>
      <c r="N85" s="25">
        <f t="shared" si="6"/>
        <v>0.63853124499036196</v>
      </c>
      <c r="O85" s="23" t="e">
        <f t="shared" si="18"/>
        <v>#DIV/0!</v>
      </c>
    </row>
    <row r="86" spans="1:17" x14ac:dyDescent="0.3">
      <c r="A86" s="9" t="s">
        <v>37</v>
      </c>
      <c r="B86" s="9">
        <f t="shared" si="5"/>
        <v>5.0900000000000001E-2</v>
      </c>
      <c r="C86" s="9">
        <f t="shared" si="7"/>
        <v>2.5450000000000004E-3</v>
      </c>
      <c r="D86" s="12">
        <f t="shared" si="8"/>
        <v>8.6222879496491013E-4</v>
      </c>
      <c r="E86" s="24">
        <f t="shared" si="9"/>
        <v>0.33879323967187036</v>
      </c>
      <c r="F86" s="12">
        <f t="shared" si="10"/>
        <v>4.0210306471898127E-4</v>
      </c>
      <c r="G86" s="25">
        <f t="shared" si="11"/>
        <v>0.15799727493869595</v>
      </c>
      <c r="H86" s="12">
        <f t="shared" si="12"/>
        <v>3.1744836147241527E-4</v>
      </c>
      <c r="I86" s="25">
        <f t="shared" si="13"/>
        <v>0.12473413024456394</v>
      </c>
      <c r="J86" s="12">
        <f t="shared" si="14"/>
        <v>2.3654901971459832E-4</v>
      </c>
      <c r="K86" s="25">
        <f t="shared" si="15"/>
        <v>9.2946569632455123E-2</v>
      </c>
      <c r="L86" s="9" t="e">
        <f t="shared" si="16"/>
        <v>#DIV/0!</v>
      </c>
      <c r="M86" s="12">
        <f t="shared" si="17"/>
        <v>2.308450980285402E-3</v>
      </c>
      <c r="N86" s="25">
        <f t="shared" si="6"/>
        <v>0.90705343036754482</v>
      </c>
      <c r="O86" s="23" t="e">
        <f t="shared" si="18"/>
        <v>#DIV/0!</v>
      </c>
    </row>
    <row r="87" spans="1:17" x14ac:dyDescent="0.3">
      <c r="A87" s="9" t="s">
        <v>42</v>
      </c>
      <c r="B87" s="9">
        <f t="shared" si="5"/>
        <v>5.0900000000000001E-2</v>
      </c>
      <c r="C87" s="9">
        <f t="shared" si="7"/>
        <v>2.5450000000000004E-3</v>
      </c>
      <c r="D87" s="12">
        <f t="shared" si="8"/>
        <v>9.6886586614108926E-4</v>
      </c>
      <c r="E87" s="24">
        <f t="shared" si="9"/>
        <v>0.3806938570298975</v>
      </c>
      <c r="F87" s="12">
        <f t="shared" si="10"/>
        <v>4.0340550222952995E-4</v>
      </c>
      <c r="G87" s="25">
        <f t="shared" si="11"/>
        <v>0.15850903820413748</v>
      </c>
      <c r="H87" s="12">
        <f t="shared" si="12"/>
        <v>3.1869653075335786E-4</v>
      </c>
      <c r="I87" s="25">
        <f t="shared" si="13"/>
        <v>0.1252245700406121</v>
      </c>
      <c r="J87" s="12">
        <f t="shared" si="14"/>
        <v>2.3774292076593468E-4</v>
      </c>
      <c r="K87" s="25">
        <f t="shared" si="15"/>
        <v>9.3415685959109873E-2</v>
      </c>
      <c r="L87" s="9" t="e">
        <f t="shared" si="16"/>
        <v>#DIV/0!</v>
      </c>
      <c r="M87" s="12">
        <f t="shared" si="17"/>
        <v>2.3072570792340655E-3</v>
      </c>
      <c r="N87" s="25">
        <f t="shared" si="6"/>
        <v>0.90658431404089013</v>
      </c>
      <c r="O87" s="23" t="e">
        <f t="shared" si="18"/>
        <v>#DIV/0!</v>
      </c>
    </row>
    <row r="88" spans="1:17" x14ac:dyDescent="0.3">
      <c r="A88" s="9" t="s">
        <v>43</v>
      </c>
      <c r="B88" s="9">
        <f t="shared" si="5"/>
        <v>5.0900000000000001E-2</v>
      </c>
      <c r="C88" s="9">
        <f t="shared" si="7"/>
        <v>2.5450000000000004E-3</v>
      </c>
      <c r="D88" s="12">
        <f t="shared" si="8"/>
        <v>8.8122267532707939E-4</v>
      </c>
      <c r="E88" s="24">
        <f t="shared" si="9"/>
        <v>0.34625645395955962</v>
      </c>
      <c r="F88" s="12">
        <f t="shared" si="10"/>
        <v>4.4612545257552904E-4</v>
      </c>
      <c r="G88" s="25">
        <f t="shared" si="11"/>
        <v>0.17529487331062044</v>
      </c>
      <c r="H88" s="12">
        <f t="shared" si="12"/>
        <v>3.5988611702446224E-4</v>
      </c>
      <c r="I88" s="25">
        <f t="shared" si="13"/>
        <v>0.14140908331020124</v>
      </c>
      <c r="J88" s="12">
        <f t="shared" si="14"/>
        <v>2.8358872113725075E-4</v>
      </c>
      <c r="K88" s="25">
        <f t="shared" si="15"/>
        <v>0.11142975290265254</v>
      </c>
      <c r="L88" s="9" t="e">
        <f t="shared" si="16"/>
        <v>#DIV/0!</v>
      </c>
      <c r="M88" s="12">
        <f t="shared" si="17"/>
        <v>2.2614112788627498E-3</v>
      </c>
      <c r="N88" s="25">
        <f t="shared" si="6"/>
        <v>0.88857024709734744</v>
      </c>
      <c r="O88" s="23" t="e">
        <f t="shared" si="18"/>
        <v>#DIV/0!</v>
      </c>
    </row>
    <row r="89" spans="1:17" x14ac:dyDescent="0.3">
      <c r="A89" s="9" t="s">
        <v>38</v>
      </c>
      <c r="B89" s="9">
        <f t="shared" si="5"/>
        <v>5.0900000000000001E-2</v>
      </c>
      <c r="C89" s="9">
        <f t="shared" si="7"/>
        <v>2.5450000000000004E-3</v>
      </c>
      <c r="D89" s="12">
        <f t="shared" si="8"/>
        <v>1.7758344403852541E-3</v>
      </c>
      <c r="E89" s="24">
        <f t="shared" si="9"/>
        <v>0.69777384690972644</v>
      </c>
      <c r="F89" s="12">
        <f t="shared" si="10"/>
        <v>9.337580565249821E-4</v>
      </c>
      <c r="G89" s="25">
        <f t="shared" si="11"/>
        <v>0.36689903989193789</v>
      </c>
      <c r="H89" s="12">
        <f t="shared" si="12"/>
        <v>6.5769930745735567E-4</v>
      </c>
      <c r="I89" s="25">
        <f t="shared" si="13"/>
        <v>0.25842801864729098</v>
      </c>
      <c r="J89" s="12">
        <f t="shared" si="14"/>
        <v>5.589023035754146E-4</v>
      </c>
      <c r="K89" s="25">
        <f t="shared" si="15"/>
        <v>0.21960797782923949</v>
      </c>
      <c r="L89" s="9" t="e">
        <f t="shared" si="16"/>
        <v>#DIV/0!</v>
      </c>
      <c r="M89" s="12">
        <f t="shared" si="17"/>
        <v>1.9860976964245856E-3</v>
      </c>
      <c r="N89" s="25">
        <f t="shared" si="6"/>
        <v>0.78039202217076054</v>
      </c>
      <c r="O89" s="23" t="e">
        <f t="shared" si="18"/>
        <v>#DIV/0!</v>
      </c>
    </row>
    <row r="90" spans="1:17" x14ac:dyDescent="0.3">
      <c r="A90" s="9" t="s">
        <v>44</v>
      </c>
      <c r="B90" s="9">
        <f t="shared" si="5"/>
        <v>5.0900000000000001E-2</v>
      </c>
      <c r="C90" s="9">
        <f t="shared" si="7"/>
        <v>2.5450000000000004E-3</v>
      </c>
      <c r="D90" s="12">
        <f t="shared" si="8"/>
        <v>1.8105661073332209E-3</v>
      </c>
      <c r="E90" s="24">
        <f t="shared" si="9"/>
        <v>0.71142086732150123</v>
      </c>
      <c r="F90" s="12">
        <f t="shared" si="10"/>
        <v>9.5355510668532326E-4</v>
      </c>
      <c r="G90" s="25">
        <f t="shared" si="11"/>
        <v>0.37467784152664957</v>
      </c>
      <c r="H90" s="12">
        <f t="shared" si="12"/>
        <v>7.141165589559592E-4</v>
      </c>
      <c r="I90" s="25">
        <f t="shared" si="13"/>
        <v>0.28059589742866764</v>
      </c>
      <c r="J90" s="12">
        <f t="shared" si="14"/>
        <v>5.8230276418160735E-4</v>
      </c>
      <c r="K90" s="25">
        <f t="shared" si="15"/>
        <v>0.22880265783167281</v>
      </c>
      <c r="L90" s="9" t="e">
        <f t="shared" si="16"/>
        <v>#DIV/0!</v>
      </c>
      <c r="M90" s="12">
        <f t="shared" si="17"/>
        <v>1.9626972358183928E-3</v>
      </c>
      <c r="N90" s="25">
        <f t="shared" si="6"/>
        <v>0.77119734216832714</v>
      </c>
      <c r="O90" s="23" t="e">
        <f t="shared" si="18"/>
        <v>#DIV/0!</v>
      </c>
    </row>
    <row r="91" spans="1:17" x14ac:dyDescent="0.3">
      <c r="A91" s="9" t="s">
        <v>45</v>
      </c>
      <c r="B91" s="9">
        <f t="shared" si="5"/>
        <v>5.0900000000000001E-2</v>
      </c>
      <c r="C91" s="9">
        <f t="shared" si="7"/>
        <v>2.5450000000000004E-3</v>
      </c>
      <c r="D91" s="12">
        <f t="shared" si="8"/>
        <v>1.6141151161587839E-3</v>
      </c>
      <c r="E91" s="24">
        <f t="shared" si="9"/>
        <v>0.63422990811740032</v>
      </c>
      <c r="F91" s="12">
        <f t="shared" si="10"/>
        <v>9.9887993205241966E-4</v>
      </c>
      <c r="G91" s="25">
        <f t="shared" si="11"/>
        <v>0.39248720316401553</v>
      </c>
      <c r="H91" s="12">
        <f t="shared" si="12"/>
        <v>7.7203161359169368E-4</v>
      </c>
      <c r="I91" s="25">
        <f t="shared" si="13"/>
        <v>0.30335230396530199</v>
      </c>
      <c r="J91" s="12">
        <f t="shared" si="14"/>
        <v>1.1811635315319238E-3</v>
      </c>
      <c r="K91" s="25">
        <f t="shared" si="15"/>
        <v>0.46411140728169886</v>
      </c>
      <c r="L91" s="9" t="e">
        <f t="shared" si="16"/>
        <v>#DIV/0!</v>
      </c>
      <c r="M91" s="12">
        <f t="shared" si="17"/>
        <v>1.3638364684680766E-3</v>
      </c>
      <c r="N91" s="25">
        <f t="shared" si="6"/>
        <v>0.53588859271830114</v>
      </c>
      <c r="O91" s="23" t="e">
        <f t="shared" si="18"/>
        <v>#DIV/0!</v>
      </c>
    </row>
    <row r="92" spans="1:17" x14ac:dyDescent="0.3">
      <c r="A92" s="13"/>
      <c r="B92" s="13"/>
      <c r="C92" s="13"/>
      <c r="D92" s="22"/>
      <c r="E92" s="21"/>
      <c r="F92" s="22"/>
      <c r="G92" s="20"/>
      <c r="H92" s="22"/>
      <c r="I92" s="20"/>
      <c r="J92" s="22"/>
      <c r="K92" s="20"/>
      <c r="L92" s="13"/>
      <c r="M92" s="22"/>
      <c r="N92" s="20"/>
      <c r="O92"/>
    </row>
    <row r="93" spans="1:17" x14ac:dyDescent="0.3">
      <c r="A93" s="13"/>
      <c r="B93" s="13"/>
      <c r="C93" s="13"/>
      <c r="D93" s="22"/>
      <c r="E93" s="21"/>
      <c r="F93" s="22"/>
      <c r="G93" s="20"/>
      <c r="H93" s="22"/>
      <c r="I93" s="20"/>
      <c r="J93" s="22"/>
      <c r="K93" s="20"/>
      <c r="L93" s="13"/>
      <c r="M93" s="22"/>
      <c r="N93" s="20"/>
      <c r="O93"/>
    </row>
    <row r="94" spans="1:17" x14ac:dyDescent="0.3">
      <c r="A94" s="13"/>
      <c r="B94" s="13"/>
      <c r="C94" s="13"/>
      <c r="D94" s="22"/>
      <c r="E94" s="21"/>
      <c r="F94" s="22"/>
      <c r="G94" s="20"/>
      <c r="H94" s="22"/>
      <c r="I94" s="20"/>
      <c r="J94" s="22"/>
      <c r="K94" s="20"/>
      <c r="L94" s="13"/>
      <c r="M94" s="22"/>
      <c r="N94" s="20"/>
      <c r="O94"/>
    </row>
    <row r="95" spans="1:17" x14ac:dyDescent="0.3">
      <c r="A95" s="13"/>
      <c r="B95" s="13"/>
      <c r="C95" s="13"/>
      <c r="D95" s="22"/>
      <c r="E95" s="21"/>
      <c r="F95" s="22"/>
      <c r="G95" s="20"/>
      <c r="H95" s="22"/>
      <c r="I95" s="20"/>
      <c r="J95" s="22"/>
      <c r="K95" s="20"/>
      <c r="L95" s="13"/>
      <c r="M95" s="22"/>
      <c r="N95" s="20"/>
      <c r="O95"/>
    </row>
    <row r="96" spans="1:17" x14ac:dyDescent="0.3">
      <c r="K96" s="25"/>
      <c r="N96" s="25"/>
    </row>
    <row r="100" spans="1:24" ht="15" thickBot="1" x14ac:dyDescent="0.35"/>
    <row r="101" spans="1:24" ht="18.600000000000001" thickBot="1" x14ac:dyDescent="0.35">
      <c r="A101" s="41" t="s">
        <v>62</v>
      </c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3"/>
    </row>
    <row r="102" spans="1:24" ht="57.6" x14ac:dyDescent="0.3">
      <c r="A102" s="11" t="s">
        <v>94</v>
      </c>
      <c r="B102" s="11" t="s">
        <v>106</v>
      </c>
      <c r="C102" s="11" t="s">
        <v>95</v>
      </c>
      <c r="D102" s="11" t="s">
        <v>72</v>
      </c>
      <c r="E102" s="11" t="s">
        <v>116</v>
      </c>
      <c r="F102" s="11" t="s">
        <v>72</v>
      </c>
      <c r="G102" s="11" t="s">
        <v>96</v>
      </c>
      <c r="H102" s="11" t="s">
        <v>72</v>
      </c>
      <c r="I102" s="11" t="s">
        <v>117</v>
      </c>
      <c r="J102" s="11" t="s">
        <v>72</v>
      </c>
      <c r="K102" s="11" t="s">
        <v>97</v>
      </c>
      <c r="L102" s="11" t="s">
        <v>72</v>
      </c>
      <c r="M102" s="11" t="s">
        <v>118</v>
      </c>
      <c r="N102" s="11" t="s">
        <v>72</v>
      </c>
      <c r="O102" s="11" t="s">
        <v>98</v>
      </c>
      <c r="P102" s="11" t="s">
        <v>72</v>
      </c>
      <c r="Q102" s="11" t="s">
        <v>119</v>
      </c>
      <c r="R102" s="11" t="s">
        <v>72</v>
      </c>
      <c r="S102" s="11" t="s">
        <v>111</v>
      </c>
      <c r="T102" s="11" t="s">
        <v>72</v>
      </c>
      <c r="U102" s="11" t="s">
        <v>112</v>
      </c>
      <c r="V102" s="11" t="s">
        <v>72</v>
      </c>
      <c r="W102" s="11" t="s">
        <v>113</v>
      </c>
      <c r="X102" s="11" t="s">
        <v>72</v>
      </c>
    </row>
    <row r="103" spans="1:24" x14ac:dyDescent="0.3">
      <c r="A103" s="9" t="s">
        <v>63</v>
      </c>
      <c r="B103" s="26">
        <f>AVERAGE(C71:C73)</f>
        <v>2.5450000000000004E-3</v>
      </c>
      <c r="C103" s="26">
        <f>AVERAGE(D71:D73)</f>
        <v>1.5432950765226954E-3</v>
      </c>
      <c r="D103" s="26">
        <f>_xlfn.STDEV.S(D71:D73)</f>
        <v>6.7695842565886261E-4</v>
      </c>
      <c r="E103" s="25">
        <f>AVERAGE(E71:E73)</f>
        <v>0.60640278055901575</v>
      </c>
      <c r="F103" s="25">
        <f>_xlfn.STDEV.S(E71:E73)</f>
        <v>0.26599545212528991</v>
      </c>
      <c r="G103" s="26">
        <f>AVERAGE(F71:F73)</f>
        <v>1.7020225294140066E-3</v>
      </c>
      <c r="H103" s="26">
        <f>_xlfn.STDEV.S(F71:F73)</f>
        <v>3.3543765002646723E-4</v>
      </c>
      <c r="I103" s="25">
        <f>AVERAGE(G71:G73)</f>
        <v>0.66877113140039535</v>
      </c>
      <c r="J103" s="25">
        <f>_xlfn.STDEV.S(G71:G73)</f>
        <v>0.13180261297700097</v>
      </c>
      <c r="K103" s="26">
        <f>AVERAGE(H71:H73)</f>
        <v>1.6279428951767019E-3</v>
      </c>
      <c r="L103" s="26">
        <f>_xlfn.STDEV.S(H71:H73)</f>
        <v>3.339561136062036E-4</v>
      </c>
      <c r="M103" s="25">
        <f>AVERAGE(I71:I73)</f>
        <v>0.63966322010872367</v>
      </c>
      <c r="N103" s="25">
        <f>_xlfn.STDEV.S(I71:I73)</f>
        <v>0.13122047685901886</v>
      </c>
      <c r="O103" s="26">
        <f>AVERAGE(J71:J73)</f>
        <v>1.5256437815441739E-3</v>
      </c>
      <c r="P103" s="26">
        <f>_xlfn.STDEV.S(J71:J73)</f>
        <v>3.2993768950317708E-4</v>
      </c>
      <c r="Q103" s="25">
        <f>AVERAGE(K71:K73)</f>
        <v>0.59946710473248477</v>
      </c>
      <c r="R103" s="25">
        <f>_xlfn.STDEV.S(K71:K73)</f>
        <v>0.12964152829201422</v>
      </c>
      <c r="S103" s="26">
        <f>AVERAGE(M71:M73)</f>
        <v>1.0193562184558265E-3</v>
      </c>
      <c r="T103" s="26">
        <f>_xlfn.STDEV.S(M71:M73)</f>
        <v>3.2993768950317708E-4</v>
      </c>
      <c r="U103" s="25">
        <f>AVERAGE(N71:N73)</f>
        <v>0.40053289526751518</v>
      </c>
      <c r="V103" s="25">
        <f>_xlfn.STDEV.S(N71:N73)</f>
        <v>0.12964152829201475</v>
      </c>
      <c r="W103" s="25" t="e">
        <f>AVERAGE(O71:O73)</f>
        <v>#DIV/0!</v>
      </c>
      <c r="X103" s="25" t="e">
        <f>_xlfn.STDEV.S(O71:O73)</f>
        <v>#DIV/0!</v>
      </c>
    </row>
    <row r="104" spans="1:24" x14ac:dyDescent="0.3">
      <c r="A104" s="9" t="s">
        <v>64</v>
      </c>
      <c r="B104" s="26">
        <f>AVERAGE(C74:C76)</f>
        <v>2.5450000000000004E-3</v>
      </c>
      <c r="C104" s="26">
        <f>AVERAGE(D74:D76)</f>
        <v>1.8984806392952618E-3</v>
      </c>
      <c r="D104" s="26">
        <f>_xlfn.STDEV.S(D74:D76)</f>
        <v>2.0281729857207756E-4</v>
      </c>
      <c r="E104" s="25">
        <f>AVERAGE(E74:E76)</f>
        <v>0.7459648877388062</v>
      </c>
      <c r="F104" s="25">
        <f>_xlfn.STDEV.S(E74:E76)</f>
        <v>7.9692455234608064E-2</v>
      </c>
      <c r="G104" s="26">
        <f>AVERAGE(F74:F76)</f>
        <v>1.6563503873774303E-3</v>
      </c>
      <c r="H104" s="26">
        <f>_xlfn.STDEV.S(F74:F76)</f>
        <v>9.5278622999098847E-5</v>
      </c>
      <c r="I104" s="25">
        <f>AVERAGE(G74:G76)</f>
        <v>0.65082529955891166</v>
      </c>
      <c r="J104" s="25">
        <f>_xlfn.STDEV.S(G74:G76)</f>
        <v>3.7437572887661648E-2</v>
      </c>
      <c r="K104" s="26">
        <f>AVERAGE(H74:H76)</f>
        <v>2.0197016268218714E-3</v>
      </c>
      <c r="L104" s="26">
        <f>_xlfn.STDEV.S(H74:H76)</f>
        <v>5.7516832281791176E-4</v>
      </c>
      <c r="M104" s="25">
        <f>AVERAGE(I74:I76)</f>
        <v>0.79359592409503765</v>
      </c>
      <c r="N104" s="25">
        <f>_xlfn.STDEV.S(I74:I76)</f>
        <v>0.22599934098935634</v>
      </c>
      <c r="O104" s="26">
        <f>AVERAGE(J74:J76)</f>
        <v>1.5140231446445001E-3</v>
      </c>
      <c r="P104" s="26">
        <f>_xlfn.STDEV.S(J74:J76)</f>
        <v>1.2150041876511223E-4</v>
      </c>
      <c r="Q104" s="25">
        <f>AVERAGE(K74:K76)</f>
        <v>0.59490103915304515</v>
      </c>
      <c r="R104" s="25">
        <f>_xlfn.STDEV.S(K74:K76)</f>
        <v>4.77408325206728E-2</v>
      </c>
      <c r="S104" s="26">
        <f>AVERAGE(M74:M76)</f>
        <v>1.0309768553555003E-3</v>
      </c>
      <c r="T104" s="26">
        <f>_xlfn.STDEV.S(M74:M76)</f>
        <v>1.2150041876511223E-4</v>
      </c>
      <c r="U104" s="25">
        <f>AVERAGE(N74:N76)</f>
        <v>0.40509896084695485</v>
      </c>
      <c r="V104" s="25">
        <f>_xlfn.STDEV.S(N74:N76)</f>
        <v>4.77408325206728E-2</v>
      </c>
      <c r="W104" s="25" t="e">
        <f>AVERAGE(O74:O76)</f>
        <v>#DIV/0!</v>
      </c>
      <c r="X104" s="25" t="e">
        <f>_xlfn.STDEV.S(O74:O76)</f>
        <v>#DIV/0!</v>
      </c>
    </row>
    <row r="105" spans="1:24" x14ac:dyDescent="0.3">
      <c r="A105" s="9" t="s">
        <v>65</v>
      </c>
      <c r="B105" s="26">
        <f>AVERAGE(C77:C79)</f>
        <v>2.5450000000000004E-3</v>
      </c>
      <c r="C105" s="26">
        <f>AVERAGE(D77:D79)</f>
        <v>8.0244329534874851E-4</v>
      </c>
      <c r="D105" s="26">
        <f>_xlfn.STDEV.S(D77:D79)</f>
        <v>3.4177368128739631E-4</v>
      </c>
      <c r="E105" s="25">
        <f>AVERAGE(E77:E79)</f>
        <v>0.31530188422347677</v>
      </c>
      <c r="F105" s="25">
        <f>_xlfn.STDEV.S(E77:E79)</f>
        <v>0.13429221268659969</v>
      </c>
      <c r="G105" s="26">
        <f>AVERAGE(F77:F79)</f>
        <v>5.3034974492434839E-4</v>
      </c>
      <c r="H105" s="26">
        <f>_xlfn.STDEV.S(F77:F79)</f>
        <v>3.905750452108928E-4</v>
      </c>
      <c r="I105" s="25">
        <f>AVERAGE(G77:G79)</f>
        <v>0.20838889780917422</v>
      </c>
      <c r="J105" s="25">
        <f>_xlfn.STDEV.S(G77:G79)</f>
        <v>0.15346760126164735</v>
      </c>
      <c r="K105" s="26">
        <f>AVERAGE(H77:H79)</f>
        <v>4.8079211470509765E-4</v>
      </c>
      <c r="L105" s="26">
        <f>_xlfn.STDEV.S(H77:H79)</f>
        <v>3.9143554483719596E-4</v>
      </c>
      <c r="M105" s="25">
        <f>AVERAGE(I77:I79)</f>
        <v>0.18891635155406586</v>
      </c>
      <c r="N105" s="25">
        <f>_xlfn.STDEV.S(I77:I79)</f>
        <v>0.15380571506373117</v>
      </c>
      <c r="O105" s="26">
        <f>AVERAGE(J77:J79)</f>
        <v>4.6609639518486854E-4</v>
      </c>
      <c r="P105" s="26">
        <f>_xlfn.STDEV.S(J77:J79)</f>
        <v>3.7153842647851736E-4</v>
      </c>
      <c r="Q105" s="25">
        <f>AVERAGE(K77:K79)</f>
        <v>0.1831420020372764</v>
      </c>
      <c r="R105" s="25">
        <f>_xlfn.STDEV.S(K77:K79)</f>
        <v>0.14598759390118554</v>
      </c>
      <c r="S105" s="26">
        <f>AVERAGE(M77:M79)</f>
        <v>2.078903604815132E-3</v>
      </c>
      <c r="T105" s="26">
        <f>_xlfn.STDEV.S(M77:M79)</f>
        <v>3.7153842647851741E-4</v>
      </c>
      <c r="U105" s="25">
        <f>AVERAGE(N77:N79)</f>
        <v>0.81685799796272363</v>
      </c>
      <c r="V105" s="25">
        <f>_xlfn.STDEV.S(N77:N79)</f>
        <v>0.1459875939011856</v>
      </c>
      <c r="W105" s="25">
        <f>AVERAGE(O77:O79)</f>
        <v>0.23692446006169141</v>
      </c>
      <c r="X105" s="25">
        <f>_xlfn.STDEV.S(O77:O79)</f>
        <v>4.1460498696821939E-2</v>
      </c>
    </row>
    <row r="106" spans="1:24" x14ac:dyDescent="0.3">
      <c r="A106" s="9" t="s">
        <v>66</v>
      </c>
      <c r="B106" s="26">
        <f>AVERAGE(C80:C82)</f>
        <v>2.5450000000000004E-3</v>
      </c>
      <c r="C106" s="26">
        <f>AVERAGE(D80:D82)</f>
        <v>6.1467522091130343E-4</v>
      </c>
      <c r="D106" s="26">
        <f>_xlfn.STDEV.S(D80:D82)</f>
        <v>2.1479138588020966E-4</v>
      </c>
      <c r="E106" s="25">
        <f>AVERAGE(E80:E82)</f>
        <v>0.24152268012231959</v>
      </c>
      <c r="F106" s="25">
        <f>_xlfn.STDEV.S(E80:E82)</f>
        <v>8.4397401131713012E-2</v>
      </c>
      <c r="G106" s="26">
        <f>AVERAGE(F80:F82)</f>
        <v>2.1359694235889166E-4</v>
      </c>
      <c r="H106" s="26">
        <f>_xlfn.STDEV.S(F80:F82)</f>
        <v>6.6579572821271266E-5</v>
      </c>
      <c r="I106" s="25">
        <f>AVERAGE(G80:G82)</f>
        <v>8.3928071653788461E-2</v>
      </c>
      <c r="J106" s="25">
        <f>_xlfn.STDEV.S(G80:G82)</f>
        <v>2.6160932346275475E-2</v>
      </c>
      <c r="K106" s="26">
        <f>AVERAGE(H80:H82)</f>
        <v>1.1682595238224863E-4</v>
      </c>
      <c r="L106" s="26">
        <f>_xlfn.STDEV.S(H80:H82)</f>
        <v>2.7853292069851376E-5</v>
      </c>
      <c r="M106" s="25">
        <f>AVERAGE(I80:I82)</f>
        <v>4.5904107026423828E-2</v>
      </c>
      <c r="N106" s="25">
        <f>_xlfn.STDEV.S(I80:I82)</f>
        <v>1.0944319084420964E-2</v>
      </c>
      <c r="O106" s="26">
        <f>AVERAGE(J80:J82)</f>
        <v>1.0394640961284029E-4</v>
      </c>
      <c r="P106" s="26">
        <f>_xlfn.STDEV.S(J80:J82)</f>
        <v>2.8270339944072446E-5</v>
      </c>
      <c r="Q106" s="25">
        <f>AVERAGE(K80:K82)</f>
        <v>4.0843382952000122E-2</v>
      </c>
      <c r="R106" s="25">
        <f>_xlfn.STDEV.S(K80:K82)</f>
        <v>1.110818858313257E-2</v>
      </c>
      <c r="S106" s="26">
        <f>AVERAGE(M80:M82)</f>
        <v>2.4410535903871601E-3</v>
      </c>
      <c r="T106" s="26">
        <f>_xlfn.STDEV.S(M80:M82)</f>
        <v>2.8270339944072551E-5</v>
      </c>
      <c r="U106" s="25">
        <f>AVERAGE(N80:N82)</f>
        <v>0.95915661704799982</v>
      </c>
      <c r="V106" s="25">
        <f>_xlfn.STDEV.S(N80:N82)</f>
        <v>1.1108188583132591E-2</v>
      </c>
      <c r="W106" s="25">
        <f>AVERAGE(O80:O82)</f>
        <v>0.20127511630509376</v>
      </c>
      <c r="X106" s="25">
        <f>_xlfn.STDEV.S(O80:O82)</f>
        <v>5.2600968504664981E-2</v>
      </c>
    </row>
    <row r="107" spans="1:24" x14ac:dyDescent="0.3">
      <c r="A107" s="9" t="s">
        <v>67</v>
      </c>
      <c r="B107" s="26">
        <f>AVERAGE(C83:C85)</f>
        <v>2.5450000000000004E-3</v>
      </c>
      <c r="C107" s="26">
        <f>AVERAGE(D83:D85)</f>
        <v>1.2742151047252968E-3</v>
      </c>
      <c r="D107" s="26">
        <f>_xlfn.STDEV.S(D83:D85)</f>
        <v>4.2277156831266712E-4</v>
      </c>
      <c r="E107" s="25">
        <f>AVERAGE(E83:E85)</f>
        <v>0.50067391148341711</v>
      </c>
      <c r="F107" s="25">
        <f>_xlfn.STDEV.S(E83:E85)</f>
        <v>0.1661184944254096</v>
      </c>
      <c r="G107" s="26">
        <f>AVERAGE(F83:F85)</f>
        <v>8.5370156420991881E-4</v>
      </c>
      <c r="H107" s="26">
        <f>_xlfn.STDEV.S(F83:F85)</f>
        <v>4.2404943871263639E-4</v>
      </c>
      <c r="I107" s="25">
        <f>AVERAGE(G83:G85)</f>
        <v>0.33544265784279714</v>
      </c>
      <c r="J107" s="25">
        <f>_xlfn.STDEV.S(G83:G85)</f>
        <v>0.16662060460221451</v>
      </c>
      <c r="K107" s="26">
        <f>AVERAGE(H83:H85)</f>
        <v>6.5786573002814817E-4</v>
      </c>
      <c r="L107" s="26">
        <f>_xlfn.STDEV.S(H83:H85)</f>
        <v>3.714260976575498E-4</v>
      </c>
      <c r="M107" s="25">
        <f>AVERAGE(I83:I85)</f>
        <v>0.2584934106200974</v>
      </c>
      <c r="N107" s="25">
        <f>_xlfn.STDEV.S(I83:I85)</f>
        <v>0.14594345683990173</v>
      </c>
      <c r="O107" s="26">
        <f>AVERAGE(J83:J85)</f>
        <v>6.32764981951424E-4</v>
      </c>
      <c r="P107" s="26">
        <f>_xlfn.STDEV.S(J83:J85)</f>
        <v>2.511306464167178E-4</v>
      </c>
      <c r="Q107" s="25">
        <f>AVERAGE(K83:K85)</f>
        <v>0.24863064123828046</v>
      </c>
      <c r="R107" s="25">
        <f>_xlfn.STDEV.S(K83:K85)</f>
        <v>9.8676088965311631E-2</v>
      </c>
      <c r="S107" s="26">
        <f>AVERAGE(M83:M85)</f>
        <v>1.9122350180485765E-3</v>
      </c>
      <c r="T107" s="26">
        <f>_xlfn.STDEV.S(M83:M85)</f>
        <v>2.5113064641671786E-4</v>
      </c>
      <c r="U107" s="25">
        <f>AVERAGE(N83:N85)</f>
        <v>0.7513693587617194</v>
      </c>
      <c r="V107" s="25">
        <f>_xlfn.STDEV.S(N83:N85)</f>
        <v>9.8676088965312755E-2</v>
      </c>
      <c r="W107" s="25" t="e">
        <f>AVERAGE(O83:O85)</f>
        <v>#DIV/0!</v>
      </c>
      <c r="X107" s="25" t="e">
        <f>_xlfn.STDEV.S(O83:O85)</f>
        <v>#DIV/0!</v>
      </c>
    </row>
    <row r="108" spans="1:24" x14ac:dyDescent="0.3">
      <c r="A108" s="9" t="s">
        <v>68</v>
      </c>
      <c r="B108" s="26">
        <f>AVERAGE(C86:C88)</f>
        <v>2.5450000000000004E-3</v>
      </c>
      <c r="C108" s="26">
        <f>AVERAGE(D86:D88)</f>
        <v>9.0410577881102629E-4</v>
      </c>
      <c r="D108" s="26">
        <f>_xlfn.STDEV.S(D86:D88)</f>
        <v>5.6882278049064982E-5</v>
      </c>
      <c r="E108" s="25">
        <f>AVERAGE(E86:E88)</f>
        <v>0.35524785022044253</v>
      </c>
      <c r="F108" s="25">
        <f>_xlfn.STDEV.S(E86:E88)</f>
        <v>2.2350600412206271E-2</v>
      </c>
      <c r="G108" s="26">
        <f>AVERAGE(F86:F88)</f>
        <v>4.1721133984134676E-4</v>
      </c>
      <c r="H108" s="26">
        <f>_xlfn.STDEV.S(F86:F88)</f>
        <v>2.5048822772157833E-5</v>
      </c>
      <c r="I108" s="25">
        <f>AVERAGE(G86:G88)</f>
        <v>0.16393372881781795</v>
      </c>
      <c r="J108" s="25">
        <f>_xlfn.STDEV.S(G86:G88)</f>
        <v>9.8423665116533828E-3</v>
      </c>
      <c r="K108" s="26">
        <f>AVERAGE(H86:H88)</f>
        <v>3.3201033641674514E-4</v>
      </c>
      <c r="L108" s="26">
        <f>_xlfn.STDEV.S(H86:H88)</f>
        <v>2.4149199572773738E-5</v>
      </c>
      <c r="M108" s="25">
        <f>AVERAGE(I86:I88)</f>
        <v>0.13045592786512575</v>
      </c>
      <c r="N108" s="25">
        <f>_xlfn.STDEV.S(I86:I88)</f>
        <v>9.4888799893020539E-3</v>
      </c>
      <c r="O108" s="26">
        <f>AVERAGE(J86:J88)</f>
        <v>2.5262688720592796E-4</v>
      </c>
      <c r="P108" s="26">
        <f>_xlfn.STDEV.S(J86:J88)</f>
        <v>2.6820378823260606E-5</v>
      </c>
      <c r="Q108" s="25">
        <f>AVERAGE(K86:K88)</f>
        <v>9.9264002831405851E-2</v>
      </c>
      <c r="R108" s="25">
        <f>_xlfn.STDEV.S(K86:K88)</f>
        <v>1.0538459262577845E-2</v>
      </c>
      <c r="S108" s="26">
        <f>AVERAGE(M86:M88)</f>
        <v>2.2923731127940726E-3</v>
      </c>
      <c r="T108" s="26">
        <f>_xlfn.STDEV.S(M86:M88)</f>
        <v>2.6820378823260444E-5</v>
      </c>
      <c r="U108" s="25">
        <f>AVERAGE(N86:N88)</f>
        <v>0.90073599716859409</v>
      </c>
      <c r="V108" s="25">
        <f>_xlfn.STDEV.S(N86:N88)</f>
        <v>1.0538459262577836E-2</v>
      </c>
      <c r="W108" s="25" t="e">
        <f>AVERAGE(O86:O88)</f>
        <v>#DIV/0!</v>
      </c>
      <c r="X108" s="25" t="e">
        <f>_xlfn.STDEV.S(O86:O88)</f>
        <v>#DIV/0!</v>
      </c>
    </row>
    <row r="109" spans="1:24" x14ac:dyDescent="0.3">
      <c r="A109" s="9" t="s">
        <v>69</v>
      </c>
      <c r="B109" s="26">
        <f>AVERAGE(C89:C91)</f>
        <v>2.5450000000000004E-3</v>
      </c>
      <c r="C109" s="26">
        <f>AVERAGE(D89:D91)</f>
        <v>1.7335052212924197E-3</v>
      </c>
      <c r="D109" s="26">
        <f>_xlfn.STDEV.S(D89:D91)</f>
        <v>1.0484307356764948E-4</v>
      </c>
      <c r="E109" s="25">
        <f>AVERAGE(E89:E91)</f>
        <v>0.68114154078287603</v>
      </c>
      <c r="F109" s="25">
        <f>_xlfn.STDEV.S(E89:E91)</f>
        <v>4.1195706706345536E-2</v>
      </c>
      <c r="G109" s="26">
        <f>AVERAGE(F89:F91)</f>
        <v>9.6206436508757508E-4</v>
      </c>
      <c r="H109" s="26">
        <f>_xlfn.STDEV.S(F89:F91)</f>
        <v>3.3384431655638334E-5</v>
      </c>
      <c r="I109" s="25">
        <f>AVERAGE(G89:G91)</f>
        <v>0.37802136152753435</v>
      </c>
      <c r="J109" s="25">
        <f>_xlfn.STDEV.S(G89:G91)</f>
        <v>1.3117654874514082E-2</v>
      </c>
      <c r="K109" s="26">
        <f>AVERAGE(H89:H91)</f>
        <v>7.1461582666833626E-4</v>
      </c>
      <c r="L109" s="26">
        <f>_xlfn.STDEV.S(H89:H91)</f>
        <v>5.7167788200047267E-5</v>
      </c>
      <c r="M109" s="25">
        <f>AVERAGE(I89:I91)</f>
        <v>0.28079207334708689</v>
      </c>
      <c r="N109" s="25">
        <f>_xlfn.STDEV.S(I89:I91)</f>
        <v>2.2462785147366316E-2</v>
      </c>
      <c r="O109" s="26">
        <f>AVERAGE(J89:J91)</f>
        <v>7.7412286642964854E-4</v>
      </c>
      <c r="P109" s="26">
        <f>_xlfn.STDEV.S(J89:J91)</f>
        <v>3.5270167659698246E-4</v>
      </c>
      <c r="Q109" s="25">
        <f>AVERAGE(K89:K91)</f>
        <v>0.30417401431420371</v>
      </c>
      <c r="R109" s="25">
        <f>_xlfn.STDEV.S(K89:K91)</f>
        <v>0.13858612047032706</v>
      </c>
      <c r="S109" s="26">
        <f>AVERAGE(M89:M91)</f>
        <v>1.7708771335703515E-3</v>
      </c>
      <c r="T109" s="26">
        <f>_xlfn.STDEV.S(M89:M91)</f>
        <v>3.5270167659698235E-4</v>
      </c>
      <c r="U109" s="25">
        <f>AVERAGE(N89:N91)</f>
        <v>0.69582598568579623</v>
      </c>
      <c r="V109" s="25">
        <f>_xlfn.STDEV.S(N89:N91)</f>
        <v>0.13858612047032745</v>
      </c>
      <c r="W109" s="25" t="e">
        <f>AVERAGE(O89:O91)</f>
        <v>#DIV/0!</v>
      </c>
      <c r="X109" s="25" t="e">
        <f>_xlfn.STDEV.S(O89:O91)</f>
        <v>#DIV/0!</v>
      </c>
    </row>
  </sheetData>
  <mergeCells count="5">
    <mergeCell ref="A101:X101"/>
    <mergeCell ref="A29:I29"/>
    <mergeCell ref="A1:L1"/>
    <mergeCell ref="A44:N44"/>
    <mergeCell ref="A69:O69"/>
  </mergeCells>
  <phoneticPr fontId="2" type="noConversion"/>
  <conditionalFormatting sqref="L3:L2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D4EFB8-B8D1-4E0A-822A-FCCE8D59BACC}">
  <dimension ref="A1:C24"/>
  <sheetViews>
    <sheetView workbookViewId="0">
      <selection activeCell="D26" sqref="D25:D26"/>
    </sheetView>
  </sheetViews>
  <sheetFormatPr defaultRowHeight="14.4" x14ac:dyDescent="0.3"/>
  <cols>
    <col min="2" max="2" width="12.6640625" bestFit="1" customWidth="1"/>
  </cols>
  <sheetData>
    <row r="1" spans="1:3" ht="15" thickBot="1" x14ac:dyDescent="0.35">
      <c r="A1" s="56" t="s">
        <v>82</v>
      </c>
      <c r="B1" s="57"/>
      <c r="C1" s="58"/>
    </row>
    <row r="2" spans="1:3" x14ac:dyDescent="0.3">
      <c r="A2" s="1" t="s">
        <v>52</v>
      </c>
      <c r="B2" s="5" t="s">
        <v>54</v>
      </c>
      <c r="C2" s="5" t="s">
        <v>53</v>
      </c>
    </row>
    <row r="3" spans="1:3" x14ac:dyDescent="0.3">
      <c r="B3">
        <v>25</v>
      </c>
      <c r="C3">
        <v>508.2</v>
      </c>
    </row>
    <row r="4" spans="1:3" x14ac:dyDescent="0.3">
      <c r="B4">
        <v>12.5</v>
      </c>
      <c r="C4">
        <v>247.5</v>
      </c>
    </row>
    <row r="5" spans="1:3" x14ac:dyDescent="0.3">
      <c r="B5">
        <v>5</v>
      </c>
      <c r="C5">
        <v>99.5</v>
      </c>
    </row>
    <row r="6" spans="1:3" x14ac:dyDescent="0.3">
      <c r="B6">
        <v>2.5</v>
      </c>
      <c r="C6">
        <v>50.1</v>
      </c>
    </row>
    <row r="7" spans="1:3" x14ac:dyDescent="0.3">
      <c r="B7">
        <v>0.5</v>
      </c>
      <c r="C7">
        <v>9.8000000000000007</v>
      </c>
    </row>
    <row r="9" spans="1:3" x14ac:dyDescent="0.3">
      <c r="A9" s="1" t="s">
        <v>55</v>
      </c>
      <c r="B9">
        <f>SLOPE(C3:C7,B3:B7)</f>
        <v>20.313493855028842</v>
      </c>
    </row>
    <row r="10" spans="1:3" x14ac:dyDescent="0.3">
      <c r="A10" s="1" t="s">
        <v>56</v>
      </c>
      <c r="B10">
        <f>INTERCEPT(C3:C7,B3:B7)</f>
        <v>-1.8327940807624543</v>
      </c>
    </row>
    <row r="14" spans="1:3" ht="15" thickBot="1" x14ac:dyDescent="0.35"/>
    <row r="15" spans="1:3" ht="15" thickBot="1" x14ac:dyDescent="0.35">
      <c r="A15" s="56" t="s">
        <v>83</v>
      </c>
      <c r="B15" s="57"/>
      <c r="C15" s="58"/>
    </row>
    <row r="16" spans="1:3" x14ac:dyDescent="0.3">
      <c r="A16" s="1" t="s">
        <v>52</v>
      </c>
      <c r="B16" s="5" t="s">
        <v>54</v>
      </c>
      <c r="C16" s="5" t="s">
        <v>53</v>
      </c>
    </row>
    <row r="17" spans="1:2" x14ac:dyDescent="0.3">
      <c r="B17">
        <v>25</v>
      </c>
    </row>
    <row r="18" spans="1:2" x14ac:dyDescent="0.3">
      <c r="B18">
        <v>12.5</v>
      </c>
    </row>
    <row r="19" spans="1:2" x14ac:dyDescent="0.3">
      <c r="B19">
        <v>5</v>
      </c>
    </row>
    <row r="20" spans="1:2" x14ac:dyDescent="0.3">
      <c r="B20">
        <v>2.5</v>
      </c>
    </row>
    <row r="21" spans="1:2" x14ac:dyDescent="0.3">
      <c r="B21">
        <v>0.5</v>
      </c>
    </row>
    <row r="23" spans="1:2" x14ac:dyDescent="0.3">
      <c r="A23" s="1" t="s">
        <v>55</v>
      </c>
      <c r="B23" t="e">
        <f>SLOPE(C17:C21,B17:B21)</f>
        <v>#DIV/0!</v>
      </c>
    </row>
    <row r="24" spans="1:2" x14ac:dyDescent="0.3">
      <c r="A24" s="1" t="s">
        <v>56</v>
      </c>
      <c r="B24" t="e">
        <f>INTERCEPT(C17:C21,B17:B21)</f>
        <v>#DIV/0!</v>
      </c>
    </row>
  </sheetData>
  <mergeCells count="2">
    <mergeCell ref="A15:C15"/>
    <mergeCell ref="A1:C1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599E5F-D636-472F-892F-44AA18EA0B93}">
  <dimension ref="A1:X109"/>
  <sheetViews>
    <sheetView topLeftCell="D1" zoomScale="55" zoomScaleNormal="55" workbookViewId="0">
      <selection activeCell="W29" sqref="W29"/>
    </sheetView>
  </sheetViews>
  <sheetFormatPr defaultRowHeight="14.4" x14ac:dyDescent="0.3"/>
  <cols>
    <col min="1" max="1" width="16.6640625" customWidth="1"/>
    <col min="2" max="2" width="14" customWidth="1"/>
    <col min="3" max="3" width="12.33203125" customWidth="1"/>
    <col min="4" max="4" width="15.109375" customWidth="1"/>
    <col min="5" max="5" width="11.33203125" customWidth="1"/>
    <col min="6" max="6" width="18.33203125" customWidth="1"/>
    <col min="7" max="7" width="16.109375" customWidth="1"/>
    <col min="8" max="8" width="12.6640625" customWidth="1"/>
    <col min="9" max="9" width="12.33203125" customWidth="1"/>
    <col min="10" max="10" width="12" customWidth="1"/>
    <col min="11" max="11" width="14.88671875" customWidth="1"/>
    <col min="12" max="12" width="13.5546875" customWidth="1"/>
    <col min="13" max="13" width="12" customWidth="1"/>
    <col min="14" max="14" width="10.88671875" customWidth="1"/>
    <col min="15" max="15" width="12.109375" customWidth="1"/>
    <col min="17" max="17" width="12.5546875" customWidth="1"/>
    <col min="18" max="18" width="12" customWidth="1"/>
  </cols>
  <sheetData>
    <row r="1" spans="1:14" ht="16.2" thickBot="1" x14ac:dyDescent="0.35">
      <c r="A1" s="59" t="s">
        <v>77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1"/>
      <c r="N1" s="1"/>
    </row>
    <row r="2" spans="1:14" x14ac:dyDescent="0.3">
      <c r="A2" s="1" t="s">
        <v>0</v>
      </c>
      <c r="B2" s="1" t="s">
        <v>1</v>
      </c>
      <c r="C2" s="1" t="s">
        <v>2</v>
      </c>
      <c r="D2" s="1" t="s">
        <v>51</v>
      </c>
      <c r="E2" s="1" t="s">
        <v>57</v>
      </c>
      <c r="F2" s="1" t="s">
        <v>101</v>
      </c>
      <c r="G2" s="1" t="s">
        <v>58</v>
      </c>
      <c r="H2" s="1" t="s">
        <v>61</v>
      </c>
      <c r="I2" s="1" t="s">
        <v>59</v>
      </c>
      <c r="J2" s="1" t="s">
        <v>61</v>
      </c>
      <c r="K2" s="1" t="s">
        <v>60</v>
      </c>
      <c r="L2" s="1" t="s">
        <v>61</v>
      </c>
    </row>
    <row r="3" spans="1:14" x14ac:dyDescent="0.3">
      <c r="A3" t="s">
        <v>15</v>
      </c>
      <c r="B3">
        <v>34.51</v>
      </c>
      <c r="C3">
        <v>5.01</v>
      </c>
      <c r="D3">
        <v>0.05</v>
      </c>
      <c r="E3">
        <f>403*2</f>
        <v>806</v>
      </c>
      <c r="F3" s="2">
        <f>((E3-'Calibration SeaWater'!$B$10)/'Calibration SeaWater'!$B$9)</f>
        <v>39.768284069988979</v>
      </c>
      <c r="G3">
        <f>208.1*2</f>
        <v>416.2</v>
      </c>
      <c r="H3" s="2">
        <f>((G3-'Calibration SeaWater'!$B$10)/'Calibration SeaWater'!$B$9)</f>
        <v>20.579069118495021</v>
      </c>
      <c r="I3">
        <f>207.5*2</f>
        <v>415</v>
      </c>
      <c r="J3" s="2">
        <f>((I3-'Calibration SeaWater'!$B$10)/'Calibration SeaWater'!$B$9)</f>
        <v>20.519995085806997</v>
      </c>
      <c r="K3">
        <f>205.8*2</f>
        <v>411.6</v>
      </c>
      <c r="L3" s="2">
        <f>((K3-'Calibration SeaWater'!$B$10)/'Calibration SeaWater'!$B$9)</f>
        <v>20.35261865985759</v>
      </c>
    </row>
    <row r="4" spans="1:14" x14ac:dyDescent="0.3">
      <c r="A4" t="s">
        <v>16</v>
      </c>
      <c r="B4">
        <v>34.82</v>
      </c>
      <c r="C4">
        <v>5</v>
      </c>
      <c r="D4">
        <v>0.05</v>
      </c>
      <c r="E4">
        <f>429.1*2</f>
        <v>858.2</v>
      </c>
      <c r="F4" s="2">
        <f>((E4-'Calibration SeaWater'!$B$10)/'Calibration SeaWater'!$B$9)</f>
        <v>42.338004491918134</v>
      </c>
      <c r="G4">
        <f>224.7*2</f>
        <v>449.4</v>
      </c>
      <c r="H4" s="2">
        <f>((G4-'Calibration SeaWater'!$B$10)/'Calibration SeaWater'!$B$9)</f>
        <v>22.213450689530426</v>
      </c>
      <c r="I4">
        <f>236.8*2</f>
        <v>473.6</v>
      </c>
      <c r="J4" s="2">
        <f>((I4-'Calibration SeaWater'!$B$10)/'Calibration SeaWater'!$B$9)</f>
        <v>23.404777015405628</v>
      </c>
      <c r="K4">
        <f>203.4*2</f>
        <v>406.8</v>
      </c>
      <c r="L4" s="2">
        <f>((K4-'Calibration SeaWater'!$B$10)/'Calibration SeaWater'!$B$9)</f>
        <v>20.116322529105481</v>
      </c>
    </row>
    <row r="5" spans="1:14" x14ac:dyDescent="0.3">
      <c r="A5" t="s">
        <v>17</v>
      </c>
      <c r="B5">
        <v>34.75</v>
      </c>
      <c r="C5">
        <v>5.01</v>
      </c>
      <c r="D5">
        <v>0.05</v>
      </c>
      <c r="E5">
        <f>299.1*2</f>
        <v>598.20000000000005</v>
      </c>
      <c r="F5" s="2">
        <f>((E5-'Calibration SeaWater'!$B$10)/'Calibration SeaWater'!$B$9)</f>
        <v>29.538630742845719</v>
      </c>
      <c r="G5">
        <f>270.6*2</f>
        <v>541.20000000000005</v>
      </c>
      <c r="H5" s="2">
        <f>((G5-'Calibration SeaWater'!$B$10)/'Calibration SeaWater'!$B$9)</f>
        <v>26.732614190164458</v>
      </c>
      <c r="I5">
        <f>286.3</f>
        <v>286.3</v>
      </c>
      <c r="J5" s="2">
        <f>((I5-'Calibration SeaWater'!$B$10)/'Calibration SeaWater'!$B$9)</f>
        <v>14.18430508001615</v>
      </c>
      <c r="K5">
        <f>245.2*2</f>
        <v>490.4</v>
      </c>
      <c r="L5" s="2">
        <f>((K5-'Calibration SeaWater'!$B$10)/'Calibration SeaWater'!$B$9)</f>
        <v>24.231813473037999</v>
      </c>
      <c r="M5">
        <f>_xlfn.STDEV.S(L3:L5)</f>
        <v>2.3108892216924044</v>
      </c>
    </row>
    <row r="6" spans="1:14" x14ac:dyDescent="0.3">
      <c r="A6" t="s">
        <v>27</v>
      </c>
      <c r="B6">
        <v>34.82</v>
      </c>
      <c r="C6">
        <v>5</v>
      </c>
      <c r="D6">
        <v>0.05</v>
      </c>
      <c r="E6">
        <f>287.8*2</f>
        <v>575.6</v>
      </c>
      <c r="F6" s="2">
        <f>((E6-'Calibration SeaWater'!$B$10)/'Calibration SeaWater'!$B$9)</f>
        <v>28.426069793887883</v>
      </c>
      <c r="G6">
        <f>248.5*2</f>
        <v>497</v>
      </c>
      <c r="H6" s="2">
        <f>((G6-'Calibration SeaWater'!$B$10)/'Calibration SeaWater'!$B$9)</f>
        <v>24.556720652822143</v>
      </c>
      <c r="I6">
        <f>216.7*2</f>
        <v>433.4</v>
      </c>
      <c r="J6" s="2">
        <f>((I6-'Calibration SeaWater'!$B$10)/'Calibration SeaWater'!$B$9)</f>
        <v>21.425796920356738</v>
      </c>
      <c r="K6">
        <f>241*2</f>
        <v>482</v>
      </c>
      <c r="L6" s="2">
        <f>((K6-'Calibration SeaWater'!$B$10)/'Calibration SeaWater'!$B$9)</f>
        <v>23.818295244221812</v>
      </c>
    </row>
    <row r="7" spans="1:14" x14ac:dyDescent="0.3">
      <c r="A7" t="s">
        <v>28</v>
      </c>
      <c r="B7">
        <v>34.42</v>
      </c>
      <c r="C7">
        <v>5.0199999999999996</v>
      </c>
      <c r="D7">
        <v>0.05</v>
      </c>
      <c r="E7">
        <f>319.1*2</f>
        <v>638.20000000000005</v>
      </c>
      <c r="F7" s="2">
        <f>((E7-'Calibration SeaWater'!$B$10)/'Calibration SeaWater'!$B$9)</f>
        <v>31.507765165779936</v>
      </c>
      <c r="G7">
        <f>252.6*2</f>
        <v>505.2</v>
      </c>
      <c r="H7" s="2">
        <f>((G7-'Calibration SeaWater'!$B$10)/'Calibration SeaWater'!$B$9)</f>
        <v>24.960393209523655</v>
      </c>
      <c r="I7">
        <f>256.5*2</f>
        <v>513</v>
      </c>
      <c r="J7" s="2">
        <f>((I7-'Calibration SeaWater'!$B$10)/'Calibration SeaWater'!$B$9)</f>
        <v>25.34437442199583</v>
      </c>
      <c r="K7">
        <f>211.4*2</f>
        <v>422.8</v>
      </c>
      <c r="L7" s="2">
        <f>((K7-'Calibration SeaWater'!$B$10)/'Calibration SeaWater'!$B$9)</f>
        <v>20.903976298279169</v>
      </c>
    </row>
    <row r="8" spans="1:14" x14ac:dyDescent="0.3">
      <c r="A8" t="s">
        <v>29</v>
      </c>
      <c r="B8">
        <v>34.5</v>
      </c>
      <c r="C8">
        <v>5.0199999999999996</v>
      </c>
      <c r="D8">
        <v>0.05</v>
      </c>
      <c r="E8">
        <f>354.5*2</f>
        <v>709</v>
      </c>
      <c r="F8" s="2">
        <f>((E8-'Calibration SeaWater'!$B$10)/'Calibration SeaWater'!$B$9)</f>
        <v>34.993133094373498</v>
      </c>
      <c r="G8">
        <f>252.1*2</f>
        <v>504.2</v>
      </c>
      <c r="H8" s="2">
        <f>((G8-'Calibration SeaWater'!$B$10)/'Calibration SeaWater'!$B$9)</f>
        <v>24.9111648489503</v>
      </c>
      <c r="I8">
        <f>264.9*2</f>
        <v>529.79999999999995</v>
      </c>
      <c r="J8" s="2">
        <f>((I8-'Calibration SeaWater'!$B$10)/'Calibration SeaWater'!$B$9)</f>
        <v>26.171410879628201</v>
      </c>
      <c r="K8">
        <f>229.8*2</f>
        <v>459.6</v>
      </c>
      <c r="L8" s="2">
        <f>((K8-'Calibration SeaWater'!$B$10)/'Calibration SeaWater'!$B$9)</f>
        <v>22.715579967378652</v>
      </c>
    </row>
    <row r="9" spans="1:14" x14ac:dyDescent="0.3">
      <c r="A9" t="s">
        <v>30</v>
      </c>
      <c r="B9">
        <v>34.54</v>
      </c>
      <c r="C9">
        <v>5</v>
      </c>
      <c r="D9">
        <v>0.05</v>
      </c>
      <c r="E9">
        <f>180.3*2</f>
        <v>360.6</v>
      </c>
      <c r="F9" s="2">
        <f>((E9-'Calibration SeaWater'!$B$10)/'Calibration SeaWater'!$B$9)</f>
        <v>17.841972270616463</v>
      </c>
      <c r="G9">
        <f>129*2</f>
        <v>258</v>
      </c>
      <c r="H9" s="2">
        <f>((G9-'Calibration SeaWater'!$B$10)/'Calibration SeaWater'!$B$9)</f>
        <v>12.791142475790192</v>
      </c>
      <c r="I9">
        <f>44.5*2</f>
        <v>89</v>
      </c>
      <c r="J9" s="2">
        <f>((I9-'Calibration SeaWater'!$B$10)/'Calibration SeaWater'!$B$9)</f>
        <v>4.4715495388931208</v>
      </c>
      <c r="K9">
        <f>22*2</f>
        <v>44</v>
      </c>
      <c r="L9" s="2">
        <f>((K9-'Calibration SeaWater'!$B$10)/'Calibration SeaWater'!$B$9)</f>
        <v>2.2562733130921253</v>
      </c>
    </row>
    <row r="10" spans="1:14" x14ac:dyDescent="0.3">
      <c r="A10" t="s">
        <v>31</v>
      </c>
      <c r="B10">
        <v>34.18</v>
      </c>
      <c r="C10">
        <v>5.04</v>
      </c>
      <c r="D10">
        <v>0.05</v>
      </c>
      <c r="E10">
        <f>155.5*2</f>
        <v>311</v>
      </c>
      <c r="F10" s="2">
        <f>((E10-'Calibration SeaWater'!$B$10)/'Calibration SeaWater'!$B$9)</f>
        <v>15.400245586178031</v>
      </c>
      <c r="G10">
        <f>56.5</f>
        <v>56.5</v>
      </c>
      <c r="H10" s="2">
        <f>((G10-'Calibration SeaWater'!$B$10)/'Calibration SeaWater'!$B$9)</f>
        <v>2.8716278202590684</v>
      </c>
      <c r="I10">
        <f>62.3</f>
        <v>62.3</v>
      </c>
      <c r="J10" s="2">
        <f>((I10-'Calibration SeaWater'!$B$10)/'Calibration SeaWater'!$B$9)</f>
        <v>3.1571523115845297</v>
      </c>
      <c r="K10">
        <v>35.5</v>
      </c>
      <c r="L10" s="2">
        <f>((K10-'Calibration SeaWater'!$B$10)/'Calibration SeaWater'!$B$9)</f>
        <v>1.837832248218604</v>
      </c>
      <c r="M10" s="7">
        <f>AVERAGE(L9:L11)</f>
        <v>2.1069472860196137</v>
      </c>
      <c r="N10" s="9">
        <f>_xlfn.STDEV.S(L9:L11)</f>
        <v>0.23352791377393373</v>
      </c>
    </row>
    <row r="11" spans="1:14" x14ac:dyDescent="0.3">
      <c r="A11" t="s">
        <v>32</v>
      </c>
      <c r="B11">
        <v>34.43</v>
      </c>
      <c r="C11">
        <v>4.9800000000000004</v>
      </c>
      <c r="D11">
        <v>0.05</v>
      </c>
      <c r="E11">
        <f>143.3*2</f>
        <v>286.60000000000002</v>
      </c>
      <c r="F11" s="2">
        <f>((E11-'Calibration SeaWater'!$B$10)/'Calibration SeaWater'!$B$9)</f>
        <v>14.19907358818816</v>
      </c>
      <c r="G11">
        <f>125.1*2</f>
        <v>250.2</v>
      </c>
      <c r="H11" s="2">
        <f>((G11-'Calibration SeaWater'!$B$10)/'Calibration SeaWater'!$B$9)</f>
        <v>12.407161263318018</v>
      </c>
      <c r="I11">
        <f>99.7*2</f>
        <v>199.4</v>
      </c>
      <c r="J11" s="2">
        <f>((I11-'Calibration SeaWater'!$B$10)/'Calibration SeaWater'!$B$9)</f>
        <v>9.9063605461915625</v>
      </c>
      <c r="K11">
        <f>21.7*2</f>
        <v>43.4</v>
      </c>
      <c r="L11" s="2">
        <f>((K11-'Calibration SeaWater'!$B$10)/'Calibration SeaWater'!$B$9)</f>
        <v>2.2267362967481121</v>
      </c>
    </row>
    <row r="12" spans="1:14" x14ac:dyDescent="0.3">
      <c r="A12" t="s">
        <v>33</v>
      </c>
      <c r="B12">
        <v>34.81</v>
      </c>
      <c r="C12">
        <v>5.03</v>
      </c>
      <c r="D12">
        <v>0.05</v>
      </c>
      <c r="E12">
        <f>119.5*2</f>
        <v>239</v>
      </c>
      <c r="F12" s="2">
        <f>((E12-'Calibration SeaWater'!$B$10)/'Calibration SeaWater'!$B$9)</f>
        <v>11.855803624896438</v>
      </c>
      <c r="G12">
        <f>214.2*2</f>
        <v>428.4</v>
      </c>
      <c r="H12" s="2">
        <f>((G12-'Calibration SeaWater'!$B$10)/'Calibration SeaWater'!$B$9)</f>
        <v>21.179655117489961</v>
      </c>
      <c r="I12">
        <f>95.9*2</f>
        <v>191.8</v>
      </c>
      <c r="J12" s="2">
        <f>((I12-'Calibration SeaWater'!$B$10)/'Calibration SeaWater'!$B$9)</f>
        <v>9.5322250058340607</v>
      </c>
      <c r="K12">
        <f>61.7*2</f>
        <v>123.4</v>
      </c>
      <c r="L12" s="2">
        <f>((K12-'Calibration SeaWater'!$B$10)/'Calibration SeaWater'!$B$9)</f>
        <v>6.1650051426165486</v>
      </c>
    </row>
    <row r="13" spans="1:14" x14ac:dyDescent="0.3">
      <c r="A13" t="s">
        <v>34</v>
      </c>
      <c r="B13">
        <v>35.200000000000003</v>
      </c>
      <c r="C13">
        <v>5.03</v>
      </c>
      <c r="D13">
        <v>0.05</v>
      </c>
      <c r="E13">
        <f>206.9*2</f>
        <v>413.8</v>
      </c>
      <c r="F13" s="2">
        <f>((E13-'Calibration SeaWater'!$B$10)/'Calibration SeaWater'!$B$9)</f>
        <v>20.46092105311897</v>
      </c>
      <c r="G13">
        <f>156.1*2</f>
        <v>312.2</v>
      </c>
      <c r="H13" s="2">
        <f>((G13-'Calibration SeaWater'!$B$10)/'Calibration SeaWater'!$B$9)</f>
        <v>15.459319618866054</v>
      </c>
      <c r="I13">
        <f>82.9*2</f>
        <v>165.8</v>
      </c>
      <c r="J13" s="2">
        <f>((I13-'Calibration SeaWater'!$B$10)/'Calibration SeaWater'!$B$9)</f>
        <v>8.2522876309268192</v>
      </c>
      <c r="K13">
        <f>65.3*2</f>
        <v>130.6</v>
      </c>
      <c r="L13" s="2">
        <f>((K13-'Calibration SeaWater'!$B$10)/'Calibration SeaWater'!$B$9)</f>
        <v>6.5194493387447068</v>
      </c>
      <c r="M13" s="7">
        <f>AVERAGE(L12:L14)</f>
        <v>5.6300569577194182</v>
      </c>
      <c r="N13" s="9">
        <f>_xlfn.STDEV.S(L12:L14)</f>
        <v>1.2461810493830305</v>
      </c>
    </row>
    <row r="14" spans="1:14" x14ac:dyDescent="0.3">
      <c r="A14" t="s">
        <v>35</v>
      </c>
      <c r="B14">
        <v>34.409999999999997</v>
      </c>
      <c r="C14">
        <v>4.95</v>
      </c>
      <c r="D14">
        <v>0.05</v>
      </c>
      <c r="E14">
        <f>186.6</f>
        <v>186.6</v>
      </c>
      <c r="F14" s="2">
        <f>((E14-'Calibration SeaWater'!$B$10)/'Calibration SeaWater'!$B$9)</f>
        <v>9.2762375308526117</v>
      </c>
      <c r="G14">
        <f>173.5</f>
        <v>173.5</v>
      </c>
      <c r="H14" s="2">
        <f>((G14-'Calibration SeaWater'!$B$10)/'Calibration SeaWater'!$B$9)</f>
        <v>8.631346007341655</v>
      </c>
      <c r="I14">
        <f>79.2*2</f>
        <v>158.4</v>
      </c>
      <c r="J14" s="2">
        <f>((I14-'Calibration SeaWater'!$B$10)/'Calibration SeaWater'!$B$9)</f>
        <v>7.8879977626839892</v>
      </c>
      <c r="K14">
        <f>41.8*2</f>
        <v>83.6</v>
      </c>
      <c r="L14" s="2">
        <f>((K14-'Calibration SeaWater'!$B$10)/'Calibration SeaWater'!$B$9)</f>
        <v>4.2057163917970009</v>
      </c>
    </row>
    <row r="15" spans="1:14" x14ac:dyDescent="0.3">
      <c r="A15" t="s">
        <v>36</v>
      </c>
      <c r="B15">
        <v>34.26</v>
      </c>
      <c r="C15">
        <v>5.0599999999999996</v>
      </c>
      <c r="D15">
        <v>0.05</v>
      </c>
      <c r="E15">
        <f>147*2</f>
        <v>294</v>
      </c>
      <c r="F15" s="2">
        <f>((E15-'Calibration SeaWater'!$B$10)/'Calibration SeaWater'!$B$9)</f>
        <v>14.563363456430988</v>
      </c>
      <c r="G15">
        <f>124.2*2</f>
        <v>248.4</v>
      </c>
      <c r="H15" s="2">
        <f>((G15-'Calibration SeaWater'!$B$10)/'Calibration SeaWater'!$B$9)</f>
        <v>12.318550214285979</v>
      </c>
      <c r="I15">
        <f>86.8*2</f>
        <v>173.6</v>
      </c>
      <c r="J15" s="2">
        <f>((I15-'Calibration SeaWater'!$B$10)/'Calibration SeaWater'!$B$9)</f>
        <v>8.6362688433989909</v>
      </c>
      <c r="K15">
        <f>54.2*2</f>
        <v>108.4</v>
      </c>
      <c r="L15" s="2">
        <f>((K15-'Calibration SeaWater'!$B$10)/'Calibration SeaWater'!$B$9)</f>
        <v>5.4265797340162161</v>
      </c>
    </row>
    <row r="16" spans="1:14" x14ac:dyDescent="0.3">
      <c r="A16" t="s">
        <v>40</v>
      </c>
      <c r="B16">
        <v>34.57</v>
      </c>
      <c r="C16">
        <v>4.93</v>
      </c>
      <c r="D16">
        <v>0.05</v>
      </c>
      <c r="E16">
        <f>154.5*2</f>
        <v>309</v>
      </c>
      <c r="F16" s="2">
        <f>((E16-'Calibration SeaWater'!$B$10)/'Calibration SeaWater'!$B$9)</f>
        <v>15.30178886503132</v>
      </c>
      <c r="G16">
        <f>117.5*2</f>
        <v>235</v>
      </c>
      <c r="H16" s="2">
        <f>((G16-'Calibration SeaWater'!$B$10)/'Calibration SeaWater'!$B$9)</f>
        <v>11.658890182603017</v>
      </c>
      <c r="I16">
        <f>60.3*2</f>
        <v>120.6</v>
      </c>
      <c r="J16" s="2">
        <f>((I16-'Calibration SeaWater'!$B$10)/'Calibration SeaWater'!$B$9)</f>
        <v>6.0271657330111523</v>
      </c>
      <c r="K16">
        <f>49.6*2</f>
        <v>99.2</v>
      </c>
      <c r="L16" s="2">
        <f>((K16-'Calibration SeaWater'!$B$10)/'Calibration SeaWater'!$B$9)</f>
        <v>4.9736788167413462</v>
      </c>
    </row>
    <row r="17" spans="1:12" x14ac:dyDescent="0.3">
      <c r="A17" t="s">
        <v>41</v>
      </c>
      <c r="B17">
        <v>34.619999999999997</v>
      </c>
      <c r="C17">
        <v>5.01</v>
      </c>
      <c r="D17">
        <v>0.05</v>
      </c>
      <c r="E17">
        <f>155.7*2</f>
        <v>311.39999999999998</v>
      </c>
      <c r="F17" s="2">
        <f>((E17-'Calibration SeaWater'!$B$10)/'Calibration SeaWater'!$B$9)</f>
        <v>15.419936930407372</v>
      </c>
      <c r="G17">
        <f>125.1*2</f>
        <v>250.2</v>
      </c>
      <c r="H17" s="2">
        <f>((G17-'Calibration SeaWater'!$B$10)/'Calibration SeaWater'!$B$9)</f>
        <v>12.407161263318018</v>
      </c>
      <c r="I17">
        <f>55.4*2</f>
        <v>110.8</v>
      </c>
      <c r="J17" s="2">
        <f>((I17-'Calibration SeaWater'!$B$10)/'Calibration SeaWater'!$B$9)</f>
        <v>5.5447277993922688</v>
      </c>
      <c r="K17">
        <f>33.2*2</f>
        <v>66.400000000000006</v>
      </c>
      <c r="L17" s="2">
        <f>((K17-'Calibration SeaWater'!$B$10)/'Calibration SeaWater'!$B$9)</f>
        <v>3.3589885899352878</v>
      </c>
    </row>
    <row r="18" spans="1:12" x14ac:dyDescent="0.3">
      <c r="A18" t="s">
        <v>37</v>
      </c>
      <c r="B18">
        <v>34.93</v>
      </c>
      <c r="C18">
        <v>5</v>
      </c>
      <c r="D18">
        <v>0.05</v>
      </c>
      <c r="E18">
        <f>215.2*2</f>
        <v>430.4</v>
      </c>
      <c r="F18" s="2">
        <f>((E18-'Calibration SeaWater'!$B$10)/'Calibration SeaWater'!$B$9)</f>
        <v>21.278111838636672</v>
      </c>
      <c r="G18">
        <f>149.9</f>
        <v>149.9</v>
      </c>
      <c r="H18" s="2">
        <f>((G18-'Calibration SeaWater'!$B$10)/'Calibration SeaWater'!$B$9)</f>
        <v>7.4695566978104679</v>
      </c>
      <c r="I18">
        <f>134.2</f>
        <v>134.19999999999999</v>
      </c>
      <c r="J18" s="2">
        <f>((I18-'Calibration SeaWater'!$B$10)/'Calibration SeaWater'!$B$9)</f>
        <v>6.6966714368087858</v>
      </c>
      <c r="K18">
        <f>83.8*2</f>
        <v>167.6</v>
      </c>
      <c r="L18" s="2">
        <f>((K18-'Calibration SeaWater'!$B$10)/'Calibration SeaWater'!$B$9)</f>
        <v>8.3408986799588583</v>
      </c>
    </row>
    <row r="19" spans="1:12" x14ac:dyDescent="0.3">
      <c r="A19" t="s">
        <v>42</v>
      </c>
      <c r="B19">
        <v>34.520000000000003</v>
      </c>
      <c r="C19">
        <v>5</v>
      </c>
      <c r="D19">
        <v>0.05</v>
      </c>
      <c r="E19">
        <f>198.7*2</f>
        <v>397.4</v>
      </c>
      <c r="F19" s="2">
        <f>((E19-'Calibration SeaWater'!$B$10)/'Calibration SeaWater'!$B$9)</f>
        <v>19.653575939715942</v>
      </c>
      <c r="G19">
        <f>159*2</f>
        <v>318</v>
      </c>
      <c r="H19" s="2">
        <f>((G19-'Calibration SeaWater'!$B$10)/'Calibration SeaWater'!$B$9)</f>
        <v>15.744844110191519</v>
      </c>
      <c r="I19">
        <f>143.9*2</f>
        <v>287.8</v>
      </c>
      <c r="J19" s="2">
        <f>((I19-'Calibration SeaWater'!$B$10)/'Calibration SeaWater'!$B$9)</f>
        <v>14.258147620876183</v>
      </c>
      <c r="K19">
        <f>100.9*2</f>
        <v>201.8</v>
      </c>
      <c r="L19" s="2">
        <f>((K19-'Calibration SeaWater'!$B$10)/'Calibration SeaWater'!$B$9)</f>
        <v>10.024508611567615</v>
      </c>
    </row>
    <row r="20" spans="1:12" x14ac:dyDescent="0.3">
      <c r="A20" t="s">
        <v>43</v>
      </c>
      <c r="B20">
        <v>34.57</v>
      </c>
      <c r="C20">
        <v>5.0199999999999996</v>
      </c>
      <c r="D20">
        <v>0.05</v>
      </c>
      <c r="E20">
        <f>233.9*2</f>
        <v>467.8</v>
      </c>
      <c r="F20" s="2">
        <f>((E20-'Calibration SeaWater'!$B$10)/'Calibration SeaWater'!$B$9)</f>
        <v>23.119252524080164</v>
      </c>
      <c r="G20">
        <f>175.7*2</f>
        <v>351.4</v>
      </c>
      <c r="H20" s="2">
        <f>((G20-'Calibration SeaWater'!$B$10)/'Calibration SeaWater'!$B$9)</f>
        <v>17.389071353341592</v>
      </c>
      <c r="I20">
        <f>153.3*2</f>
        <v>306.60000000000002</v>
      </c>
      <c r="J20" s="2">
        <f>((I20-'Calibration SeaWater'!$B$10)/'Calibration SeaWater'!$B$9)</f>
        <v>15.183640799655269</v>
      </c>
      <c r="K20">
        <f>98.9*2</f>
        <v>197.8</v>
      </c>
      <c r="L20" s="2">
        <f>((K20-'Calibration SeaWater'!$B$10)/'Calibration SeaWater'!$B$9)</f>
        <v>9.8275951692741934</v>
      </c>
    </row>
    <row r="21" spans="1:12" x14ac:dyDescent="0.3">
      <c r="A21" t="s">
        <v>38</v>
      </c>
      <c r="B21">
        <v>34.299999999999997</v>
      </c>
      <c r="C21">
        <v>5.05</v>
      </c>
      <c r="D21">
        <v>0.05</v>
      </c>
      <c r="E21">
        <f>147*2</f>
        <v>294</v>
      </c>
      <c r="F21" s="2">
        <f>((E21-'Calibration SeaWater'!$B$10)/'Calibration SeaWater'!$B$9)</f>
        <v>14.563363456430988</v>
      </c>
      <c r="G21">
        <f>144.3</f>
        <v>144.30000000000001</v>
      </c>
      <c r="H21" s="2">
        <f>((G21-'Calibration SeaWater'!$B$10)/'Calibration SeaWater'!$B$9)</f>
        <v>7.1938778785996771</v>
      </c>
      <c r="I21">
        <f>90.3*2</f>
        <v>180.6</v>
      </c>
      <c r="J21" s="2">
        <f>((I21-'Calibration SeaWater'!$B$10)/'Calibration SeaWater'!$B$9)</f>
        <v>8.980867367412479</v>
      </c>
      <c r="K21">
        <f>47.5*2</f>
        <v>95</v>
      </c>
      <c r="L21" s="2">
        <f>((K21-'Calibration SeaWater'!$B$10)/'Calibration SeaWater'!$B$9)</f>
        <v>4.7669197023332535</v>
      </c>
    </row>
    <row r="22" spans="1:12" x14ac:dyDescent="0.3">
      <c r="A22" t="s">
        <v>44</v>
      </c>
      <c r="B22">
        <v>34.880000000000003</v>
      </c>
      <c r="C22">
        <v>5.0599999999999996</v>
      </c>
      <c r="D22">
        <v>0.05</v>
      </c>
      <c r="E22">
        <f>208.7*2</f>
        <v>417.4</v>
      </c>
      <c r="F22" s="2">
        <f>((E22-'Calibration SeaWater'!$B$10)/'Calibration SeaWater'!$B$9)</f>
        <v>20.638143151183051</v>
      </c>
      <c r="G22">
        <f>154.5*2</f>
        <v>309</v>
      </c>
      <c r="H22" s="2">
        <f>((G22-'Calibration SeaWater'!$B$10)/'Calibration SeaWater'!$B$9)</f>
        <v>15.30178886503132</v>
      </c>
      <c r="I22">
        <f>96.2*2</f>
        <v>192.4</v>
      </c>
      <c r="J22" s="2">
        <f>((I22-'Calibration SeaWater'!$B$10)/'Calibration SeaWater'!$B$9)</f>
        <v>9.5617620221780744</v>
      </c>
      <c r="K22">
        <f>59.4*2</f>
        <v>118.8</v>
      </c>
      <c r="L22" s="2">
        <f>((K22-'Calibration SeaWater'!$B$10)/'Calibration SeaWater'!$B$9)</f>
        <v>5.9385546839791123</v>
      </c>
    </row>
    <row r="23" spans="1:12" x14ac:dyDescent="0.3">
      <c r="A23" t="s">
        <v>45</v>
      </c>
      <c r="B23">
        <v>34.869999999999997</v>
      </c>
      <c r="C23">
        <v>5</v>
      </c>
      <c r="D23">
        <v>0.05</v>
      </c>
      <c r="E23">
        <f>250.9*2</f>
        <v>501.8</v>
      </c>
      <c r="F23" s="2">
        <f>((E23-'Calibration SeaWater'!$B$10)/'Calibration SeaWater'!$B$9)</f>
        <v>24.793016783574249</v>
      </c>
      <c r="G23">
        <f>190*2</f>
        <v>380</v>
      </c>
      <c r="H23" s="2">
        <f>((G23-'Calibration SeaWater'!$B$10)/'Calibration SeaWater'!$B$9)</f>
        <v>18.797002465739556</v>
      </c>
      <c r="I23">
        <f>122.7*2</f>
        <v>245.4</v>
      </c>
      <c r="J23" s="2">
        <f>((I23-'Calibration SeaWater'!$B$10)/'Calibration SeaWater'!$B$9)</f>
        <v>12.170865132565913</v>
      </c>
      <c r="K23">
        <f>55.5*2</f>
        <v>111</v>
      </c>
      <c r="L23" s="2">
        <f>((K23-'Calibration SeaWater'!$B$10)/'Calibration SeaWater'!$B$9)</f>
        <v>5.5545734715069406</v>
      </c>
    </row>
    <row r="24" spans="1:12" x14ac:dyDescent="0.3">
      <c r="A24" t="s">
        <v>39</v>
      </c>
      <c r="C24">
        <v>0</v>
      </c>
      <c r="D24">
        <v>0.05</v>
      </c>
      <c r="E24">
        <f>513.4*2</f>
        <v>1026.8</v>
      </c>
      <c r="F24" s="2">
        <f>((E24-'Calibration SeaWater'!$B$10)/'Calibration SeaWater'!$B$9)</f>
        <v>50.63790608458585</v>
      </c>
      <c r="G24">
        <f>506.1*2</f>
        <v>1012.2</v>
      </c>
      <c r="H24" s="2">
        <f>((G24-'Calibration SeaWater'!$B$10)/'Calibration SeaWater'!$B$9)</f>
        <v>49.919172020214873</v>
      </c>
      <c r="I24">
        <f>506.9*2</f>
        <v>1013.8</v>
      </c>
      <c r="J24" s="2">
        <f>((I24-'Calibration SeaWater'!$B$10)/'Calibration SeaWater'!$B$9)</f>
        <v>49.99793739713224</v>
      </c>
      <c r="K24">
        <f>463.1*2</f>
        <v>926.2</v>
      </c>
      <c r="L24" s="2">
        <f>((K24-'Calibration SeaWater'!$B$10)/'Calibration SeaWater'!$B$9)</f>
        <v>45.685533010906305</v>
      </c>
    </row>
    <row r="25" spans="1:12" x14ac:dyDescent="0.3">
      <c r="A25" t="s">
        <v>46</v>
      </c>
      <c r="C25">
        <v>0</v>
      </c>
      <c r="D25">
        <v>0.05</v>
      </c>
      <c r="E25">
        <f>497.6*2</f>
        <v>995.2</v>
      </c>
      <c r="F25" s="2">
        <f>(E25-'Calibration SeaWater'!$B$10)/'Calibration SeaWater'!$B$9</f>
        <v>49.082289890467834</v>
      </c>
      <c r="G25">
        <f>528.5*2</f>
        <v>1057</v>
      </c>
      <c r="H25" s="2">
        <f>((G25-'Calibration SeaWater'!$B$10)/'Calibration SeaWater'!$B$9)</f>
        <v>52.124602573901193</v>
      </c>
      <c r="I25">
        <f>523.5*2</f>
        <v>1047</v>
      </c>
      <c r="J25" s="2">
        <f>((I25-'Calibration SeaWater'!$B$10)/'Calibration SeaWater'!$B$9)</f>
        <v>51.632318968167638</v>
      </c>
      <c r="K25">
        <f>480.5*2</f>
        <v>961</v>
      </c>
      <c r="L25" s="2">
        <f>((K25-'Calibration SeaWater'!$B$10)/'Calibration SeaWater'!$B$9)</f>
        <v>47.39867995885907</v>
      </c>
    </row>
    <row r="26" spans="1:12" x14ac:dyDescent="0.3">
      <c r="A26" t="s">
        <v>47</v>
      </c>
      <c r="C26">
        <v>0</v>
      </c>
      <c r="D26">
        <v>0.05</v>
      </c>
      <c r="E26">
        <f>507.8*2</f>
        <v>1015.6</v>
      </c>
      <c r="F26" s="2">
        <f>(E26-'Calibration SeaWater'!$B$10)/'Calibration SeaWater'!$B$9</f>
        <v>50.086548446164279</v>
      </c>
      <c r="G26">
        <f>498.4*2</f>
        <v>996.8</v>
      </c>
      <c r="H26" s="2">
        <f>((G26-'Calibration SeaWater'!$B$10)/'Calibration SeaWater'!$B$9)</f>
        <v>49.161055267385194</v>
      </c>
      <c r="I26">
        <f>517.4*2</f>
        <v>1034.8</v>
      </c>
      <c r="J26" s="2">
        <f>((I26-'Calibration SeaWater'!$B$10)/'Calibration SeaWater'!$B$9)</f>
        <v>51.031732969172694</v>
      </c>
      <c r="K26">
        <f>466.5*2</f>
        <v>933</v>
      </c>
      <c r="L26" s="2">
        <f>((K26-'Calibration SeaWater'!$B$10)/'Calibration SeaWater'!$B$9)</f>
        <v>46.020285862805117</v>
      </c>
    </row>
    <row r="28" spans="1:12" ht="15" thickBot="1" x14ac:dyDescent="0.35"/>
    <row r="29" spans="1:12" ht="15" thickBot="1" x14ac:dyDescent="0.35">
      <c r="A29" s="44" t="s">
        <v>62</v>
      </c>
      <c r="B29" s="45"/>
      <c r="C29" s="45"/>
      <c r="D29" s="45"/>
      <c r="E29" s="45"/>
      <c r="F29" s="45"/>
      <c r="G29" s="45"/>
      <c r="H29" s="45"/>
      <c r="I29" s="46"/>
      <c r="J29" s="6"/>
      <c r="K29" s="6"/>
      <c r="L29" s="6"/>
    </row>
    <row r="30" spans="1:12" x14ac:dyDescent="0.3">
      <c r="A30" s="1" t="s">
        <v>0</v>
      </c>
      <c r="B30" s="4" t="s">
        <v>71</v>
      </c>
      <c r="C30" s="4" t="s">
        <v>72</v>
      </c>
      <c r="D30" s="4" t="s">
        <v>73</v>
      </c>
      <c r="E30" s="4" t="s">
        <v>72</v>
      </c>
      <c r="F30" s="4" t="s">
        <v>74</v>
      </c>
      <c r="G30" s="4" t="s">
        <v>72</v>
      </c>
      <c r="H30" s="4" t="s">
        <v>75</v>
      </c>
      <c r="I30" s="4" t="s">
        <v>72</v>
      </c>
      <c r="K30" s="3"/>
    </row>
    <row r="31" spans="1:12" x14ac:dyDescent="0.3">
      <c r="A31" t="s">
        <v>63</v>
      </c>
      <c r="B31" s="3">
        <f>AVERAGE(F3:F5)</f>
        <v>37.214973101584285</v>
      </c>
      <c r="C31" s="3">
        <f>_xlfn.STDEV.S(F3:F5)</f>
        <v>6.7709334488047004</v>
      </c>
      <c r="D31" s="3">
        <f>AVERAGE(H3:H5)</f>
        <v>23.1750446660633</v>
      </c>
      <c r="E31" s="3">
        <f>_xlfn.STDEV.S(H3:H5)</f>
        <v>3.1874796421381566</v>
      </c>
      <c r="F31" s="3">
        <f>AVERAGE(J3:J5)</f>
        <v>19.369692393742927</v>
      </c>
      <c r="G31" s="3">
        <f>_xlfn.STDEV.S(J3:J5)</f>
        <v>4.7166378799260791</v>
      </c>
      <c r="H31" s="3">
        <f>AVERAGE(L3:L5)</f>
        <v>21.566918220667024</v>
      </c>
      <c r="I31" s="3">
        <f>_xlfn.STDEV.S(L3:L5)</f>
        <v>2.3108892216924044</v>
      </c>
      <c r="K31" s="3"/>
    </row>
    <row r="32" spans="1:12" x14ac:dyDescent="0.3">
      <c r="A32" t="s">
        <v>64</v>
      </c>
      <c r="B32" s="3">
        <f>AVERAGE(F6:F8)</f>
        <v>31.642322684680437</v>
      </c>
      <c r="C32" s="3">
        <f>_xlfn.STDEV.S(F6:F8)</f>
        <v>3.2855987875219559</v>
      </c>
      <c r="D32" s="3">
        <f>AVERAGE(H6:H8)</f>
        <v>24.809426237098695</v>
      </c>
      <c r="E32" s="3">
        <f>_xlfn.STDEV.S(H6:H8)</f>
        <v>0.2202292944060843</v>
      </c>
      <c r="F32" s="3">
        <f>AVERAGE(J6:J8)</f>
        <v>24.313860740660257</v>
      </c>
      <c r="G32" s="3">
        <f>_xlfn.STDEV.S(J6:J8)</f>
        <v>2.535090096657886</v>
      </c>
      <c r="H32" s="3">
        <f>AVERAGE(L6:L8)</f>
        <v>22.479283836626546</v>
      </c>
      <c r="I32" s="3">
        <f>_xlfn.STDEV.S(L6:L8)</f>
        <v>1.4714586727891383</v>
      </c>
      <c r="K32" s="3"/>
    </row>
    <row r="33" spans="1:15" x14ac:dyDescent="0.3">
      <c r="A33" t="s">
        <v>65</v>
      </c>
      <c r="B33" s="3">
        <f>AVERAGE(F9:F11)</f>
        <v>15.813763814994218</v>
      </c>
      <c r="C33" s="3">
        <f>_xlfn.STDEV.S(F9:F11)</f>
        <v>1.8563204725429077</v>
      </c>
      <c r="D33" s="3">
        <f>AVERAGE(H9:H11)</f>
        <v>9.3566438531224261</v>
      </c>
      <c r="E33" s="3">
        <f>_xlfn.STDEV.S(H9:H11)</f>
        <v>5.6194692901335479</v>
      </c>
      <c r="F33" s="3">
        <f>AVERAGE(J9:J11)</f>
        <v>5.8450207988897374</v>
      </c>
      <c r="G33" s="3">
        <f>_xlfn.STDEV.S(J9:J11)</f>
        <v>3.5780959217228068</v>
      </c>
      <c r="H33" s="3">
        <f>AVERAGE(L9:L11)</f>
        <v>2.1069472860196137</v>
      </c>
      <c r="I33" s="3">
        <f>_xlfn.STDEV.S(L9:L11)</f>
        <v>0.23352791377393373</v>
      </c>
      <c r="K33" s="3"/>
    </row>
    <row r="34" spans="1:15" x14ac:dyDescent="0.3">
      <c r="A34" t="s">
        <v>66</v>
      </c>
      <c r="B34" s="3">
        <f>AVERAGE(F12:F14)</f>
        <v>13.864320736289338</v>
      </c>
      <c r="C34" s="3">
        <f>_xlfn.STDEV.S(F12:F14)</f>
        <v>5.8566109750761814</v>
      </c>
      <c r="D34" s="3">
        <f>AVERAGE(H12:H14)</f>
        <v>15.090106914565892</v>
      </c>
      <c r="E34" s="3">
        <f>_xlfn.STDEV.S(H12:H14)</f>
        <v>6.2822968647398536</v>
      </c>
      <c r="F34" s="3">
        <f>AVERAGE(J12:J14)</f>
        <v>8.5575034664816219</v>
      </c>
      <c r="G34" s="3">
        <f>_xlfn.STDEV.S(J12:J14)</f>
        <v>0.86356142600528651</v>
      </c>
      <c r="H34" s="3">
        <f>AVERAGE(L12:L14)</f>
        <v>5.6300569577194182</v>
      </c>
      <c r="I34" s="3">
        <f>_xlfn.STDEV.S(L12:L14)</f>
        <v>1.2461810493830305</v>
      </c>
      <c r="K34" s="3"/>
    </row>
    <row r="35" spans="1:15" x14ac:dyDescent="0.3">
      <c r="A35" t="s">
        <v>67</v>
      </c>
      <c r="B35" s="3">
        <f>AVERAGE(F15:F17)</f>
        <v>15.095029750623226</v>
      </c>
      <c r="C35" s="3">
        <f>_xlfn.STDEV.S(F15:F17)</f>
        <v>0.46421065005351514</v>
      </c>
      <c r="D35" s="3">
        <f>AVERAGE(H15:H17)</f>
        <v>12.128200553402337</v>
      </c>
      <c r="E35" s="3">
        <f>_xlfn.STDEV.S(H15:H17)</f>
        <v>0.40884244839239359</v>
      </c>
      <c r="F35" s="3">
        <f>AVERAGE(J15:J17)</f>
        <v>6.7360541252674713</v>
      </c>
      <c r="G35" s="3">
        <f>_xlfn.STDEV.S(J15:J17)</f>
        <v>1.6632193394743102</v>
      </c>
      <c r="H35" s="3">
        <f>AVERAGE(L15:L17)</f>
        <v>4.5864157135642838</v>
      </c>
      <c r="I35" s="3">
        <f>_xlfn.STDEV.S(L15:L17)</f>
        <v>1.0868361505223338</v>
      </c>
      <c r="K35" s="3"/>
    </row>
    <row r="36" spans="1:15" x14ac:dyDescent="0.3">
      <c r="A36" t="s">
        <v>68</v>
      </c>
      <c r="B36" s="3">
        <f>AVERAGE(F18:F20)</f>
        <v>21.350313434144258</v>
      </c>
      <c r="C36" s="3">
        <f>_xlfn.STDEV.S(F18:F20)</f>
        <v>1.7339660751145032</v>
      </c>
      <c r="D36" s="3">
        <f>AVERAGE(H18:H20)</f>
        <v>13.534490720447858</v>
      </c>
      <c r="E36" s="3">
        <f>_xlfn.STDEV.S(H18:H20)</f>
        <v>5.3163370219529629</v>
      </c>
      <c r="F36" s="3">
        <f>AVERAGE(J18:J20)</f>
        <v>12.046153285780079</v>
      </c>
      <c r="G36" s="3">
        <f>_xlfn.STDEV.S(J18:J20)</f>
        <v>4.6558405734460742</v>
      </c>
      <c r="H36" s="3">
        <f>AVERAGE(L18:L20)</f>
        <v>9.397667486933555</v>
      </c>
      <c r="I36" s="3">
        <f>_xlfn.STDEV.S(L18:L20)</f>
        <v>0.92046942343839167</v>
      </c>
      <c r="K36" s="3"/>
    </row>
    <row r="37" spans="1:15" x14ac:dyDescent="0.3">
      <c r="A37" t="s">
        <v>69</v>
      </c>
      <c r="B37" s="3">
        <f>AVERAGE(F21:F23)</f>
        <v>19.998174463729427</v>
      </c>
      <c r="C37" s="3">
        <f>_xlfn.STDEV.S(F21:F23)</f>
        <v>5.1447664416447765</v>
      </c>
      <c r="D37" s="3">
        <f>AVERAGE(H21:H23)</f>
        <v>13.764223069790186</v>
      </c>
      <c r="E37" s="3">
        <f>_xlfn.STDEV.S(H21:H23)</f>
        <v>5.9524118201947447</v>
      </c>
      <c r="F37" s="3">
        <f>AVERAGE(J21:J23)</f>
        <v>10.237831507385488</v>
      </c>
      <c r="G37" s="3">
        <f>_xlfn.STDEV.S(J21:J23)</f>
        <v>1.6990655952736</v>
      </c>
      <c r="H37" s="3">
        <f>AVERAGE(L21:L23)</f>
        <v>5.4200159526064349</v>
      </c>
      <c r="I37" s="3">
        <f>_xlfn.STDEV.S(L21:L23)</f>
        <v>0.59729509203874076</v>
      </c>
      <c r="K37" s="3"/>
    </row>
    <row r="38" spans="1:15" x14ac:dyDescent="0.3">
      <c r="A38" t="s">
        <v>70</v>
      </c>
      <c r="B38" s="3">
        <f>AVERAGE(F24:F26)</f>
        <v>49.935581473739319</v>
      </c>
      <c r="C38" s="3">
        <f>_xlfn.STDEV.S(F24:F26)</f>
        <v>0.78871966244219127</v>
      </c>
      <c r="D38" s="3">
        <f>AVERAGE(H24:H26)</f>
        <v>50.401609953833749</v>
      </c>
      <c r="E38" s="3">
        <f>_xlfn.STDEV.S(H24:H26)</f>
        <v>1.5395495865139903</v>
      </c>
      <c r="F38" s="3">
        <f>AVERAGE(J24:J26)</f>
        <v>50.887329778157529</v>
      </c>
      <c r="G38" s="3">
        <f>_xlfn.STDEV.S(J24:J26)</f>
        <v>0.8267042948458394</v>
      </c>
      <c r="H38" s="3">
        <f>AVERAGE(L24:L26)</f>
        <v>46.3681662775235</v>
      </c>
      <c r="I38" s="3">
        <f>_xlfn.STDEV.S(L24:L26)</f>
        <v>0.9080108498957723</v>
      </c>
    </row>
    <row r="42" spans="1:15" ht="15" thickBot="1" x14ac:dyDescent="0.35"/>
    <row r="43" spans="1:15" ht="15" thickBot="1" x14ac:dyDescent="0.35">
      <c r="A43" s="50" t="s">
        <v>78</v>
      </c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2"/>
    </row>
    <row r="44" spans="1:15" ht="43.2" x14ac:dyDescent="0.3">
      <c r="A44" s="11" t="s">
        <v>0</v>
      </c>
      <c r="B44" s="11" t="s">
        <v>80</v>
      </c>
      <c r="C44" s="11" t="s">
        <v>87</v>
      </c>
      <c r="D44" s="11" t="s">
        <v>85</v>
      </c>
      <c r="E44" s="11" t="s">
        <v>86</v>
      </c>
      <c r="F44" s="11" t="s">
        <v>79</v>
      </c>
      <c r="G44" s="11" t="s">
        <v>81</v>
      </c>
      <c r="H44" s="11" t="s">
        <v>88</v>
      </c>
      <c r="I44" s="11" t="s">
        <v>93</v>
      </c>
      <c r="J44" s="11" t="s">
        <v>89</v>
      </c>
      <c r="K44" s="11" t="s">
        <v>91</v>
      </c>
      <c r="L44" s="11" t="s">
        <v>53</v>
      </c>
      <c r="M44" s="11" t="s">
        <v>84</v>
      </c>
      <c r="N44" s="11" t="s">
        <v>90</v>
      </c>
      <c r="O44" s="11" t="s">
        <v>114</v>
      </c>
    </row>
    <row r="45" spans="1:15" x14ac:dyDescent="0.3">
      <c r="A45" s="9" t="s">
        <v>18</v>
      </c>
      <c r="B45" s="9">
        <v>48.25</v>
      </c>
      <c r="C45" s="9">
        <f t="shared" ref="C45:C51" si="0">B45-B3</f>
        <v>13.740000000000002</v>
      </c>
      <c r="D45" s="9">
        <v>1.06</v>
      </c>
      <c r="E45" s="9">
        <v>5.66</v>
      </c>
      <c r="F45" s="9">
        <f>E45-D45</f>
        <v>4.5999999999999996</v>
      </c>
      <c r="G45" s="9">
        <f>2.53-D45</f>
        <v>1.4699999999999998</v>
      </c>
      <c r="H45" s="9">
        <f>F45-G45</f>
        <v>3.13</v>
      </c>
      <c r="J45" s="9"/>
      <c r="K45" s="9"/>
      <c r="L45" s="9"/>
      <c r="M45" s="9" t="e">
        <f>(L45-'Calibration SeaWater'!$B$24)/'Calibration SeaWater'!$B$23</f>
        <v>#DIV/0!</v>
      </c>
      <c r="N45" s="9" t="e">
        <f>((M45*K45)/J45)*1000</f>
        <v>#DIV/0!</v>
      </c>
      <c r="O45" t="e">
        <f>N45/1000</f>
        <v>#DIV/0!</v>
      </c>
    </row>
    <row r="46" spans="1:15" x14ac:dyDescent="0.3">
      <c r="A46" s="9" t="s">
        <v>19</v>
      </c>
      <c r="B46" s="9">
        <v>48.04</v>
      </c>
      <c r="C46" s="9">
        <f t="shared" si="0"/>
        <v>13.219999999999999</v>
      </c>
      <c r="D46" s="9">
        <v>1.1000000000000001</v>
      </c>
      <c r="E46" s="9">
        <v>6.12</v>
      </c>
      <c r="F46" s="9">
        <f t="shared" ref="F46:F65" si="1">E46-D46</f>
        <v>5.0199999999999996</v>
      </c>
      <c r="G46" s="9">
        <f>2.89-D46</f>
        <v>1.79</v>
      </c>
      <c r="H46" s="9">
        <f t="shared" ref="H46:H65" si="2">F46-G46</f>
        <v>3.2299999999999995</v>
      </c>
      <c r="J46" s="9"/>
      <c r="K46" s="9"/>
      <c r="L46" s="9"/>
      <c r="M46" s="9" t="e">
        <f>(L46-'Calibration SeaWater'!$B$24)/'Calibration SeaWater'!$B$23</f>
        <v>#DIV/0!</v>
      </c>
      <c r="N46" s="9" t="e">
        <f t="shared" ref="N46:N65" si="3">((M46*K46)/J46)*1000</f>
        <v>#DIV/0!</v>
      </c>
      <c r="O46" t="e">
        <f t="shared" ref="O46:O65" si="4">N46/1000</f>
        <v>#DIV/0!</v>
      </c>
    </row>
    <row r="47" spans="1:15" x14ac:dyDescent="0.3">
      <c r="A47" s="9" t="s">
        <v>20</v>
      </c>
      <c r="B47" s="9">
        <v>48.19</v>
      </c>
      <c r="C47" s="9">
        <f t="shared" si="0"/>
        <v>13.439999999999998</v>
      </c>
      <c r="D47" s="9">
        <v>1.1000000000000001</v>
      </c>
      <c r="E47" s="9">
        <v>5.38</v>
      </c>
      <c r="F47" s="9">
        <f t="shared" si="1"/>
        <v>4.2799999999999994</v>
      </c>
      <c r="G47" s="9">
        <f>2.65-D47</f>
        <v>1.5499999999999998</v>
      </c>
      <c r="H47" s="9">
        <f t="shared" si="2"/>
        <v>2.7299999999999995</v>
      </c>
      <c r="J47" s="9"/>
      <c r="K47" s="9"/>
      <c r="L47" s="9"/>
      <c r="M47" s="9" t="e">
        <f>(L47-'Calibration SeaWater'!$B$24)/'Calibration SeaWater'!$B$23</f>
        <v>#DIV/0!</v>
      </c>
      <c r="N47" s="9" t="e">
        <f t="shared" si="3"/>
        <v>#DIV/0!</v>
      </c>
      <c r="O47" t="e">
        <f t="shared" si="4"/>
        <v>#DIV/0!</v>
      </c>
    </row>
    <row r="48" spans="1:15" x14ac:dyDescent="0.3">
      <c r="A48" s="9" t="s">
        <v>21</v>
      </c>
      <c r="B48" s="9">
        <v>52.04</v>
      </c>
      <c r="C48" s="9">
        <f t="shared" si="0"/>
        <v>17.22</v>
      </c>
      <c r="D48" s="9">
        <v>1.03</v>
      </c>
      <c r="E48" s="9">
        <v>6.51</v>
      </c>
      <c r="F48" s="9">
        <f t="shared" si="1"/>
        <v>5.4799999999999995</v>
      </c>
      <c r="G48" s="9">
        <f>3-D48</f>
        <v>1.97</v>
      </c>
      <c r="H48" s="9">
        <f t="shared" si="2"/>
        <v>3.51</v>
      </c>
      <c r="J48" s="9"/>
      <c r="K48" s="9"/>
      <c r="L48" s="9"/>
      <c r="M48" s="9" t="e">
        <f>(L48-'Calibration SeaWater'!$B$24)/'Calibration SeaWater'!$B$23</f>
        <v>#DIV/0!</v>
      </c>
      <c r="N48" s="9" t="e">
        <f t="shared" si="3"/>
        <v>#DIV/0!</v>
      </c>
      <c r="O48" t="e">
        <f t="shared" si="4"/>
        <v>#DIV/0!</v>
      </c>
    </row>
    <row r="49" spans="1:15" x14ac:dyDescent="0.3">
      <c r="A49" s="9" t="s">
        <v>22</v>
      </c>
      <c r="B49" s="9">
        <v>50.96</v>
      </c>
      <c r="C49" s="9">
        <f t="shared" si="0"/>
        <v>16.54</v>
      </c>
      <c r="D49" s="9">
        <v>1.1000000000000001</v>
      </c>
      <c r="E49" s="9">
        <v>6.18</v>
      </c>
      <c r="F49" s="9">
        <f t="shared" si="1"/>
        <v>5.08</v>
      </c>
      <c r="G49" s="9">
        <f>3.57-D49</f>
        <v>2.4699999999999998</v>
      </c>
      <c r="H49" s="9">
        <f t="shared" si="2"/>
        <v>2.6100000000000003</v>
      </c>
      <c r="J49" s="9"/>
      <c r="K49" s="9"/>
      <c r="L49" s="9"/>
      <c r="M49" s="9" t="e">
        <f>(L49-'Calibration SeaWater'!$B$24)/'Calibration SeaWater'!$B$23</f>
        <v>#DIV/0!</v>
      </c>
      <c r="N49" s="9" t="e">
        <f t="shared" si="3"/>
        <v>#DIV/0!</v>
      </c>
      <c r="O49" t="e">
        <f t="shared" si="4"/>
        <v>#DIV/0!</v>
      </c>
    </row>
    <row r="50" spans="1:15" x14ac:dyDescent="0.3">
      <c r="A50" s="9" t="s">
        <v>23</v>
      </c>
      <c r="B50" s="9">
        <v>48.25</v>
      </c>
      <c r="C50" s="9">
        <f t="shared" si="0"/>
        <v>13.75</v>
      </c>
      <c r="D50" s="9">
        <v>1.08</v>
      </c>
      <c r="E50" s="9">
        <v>7.06</v>
      </c>
      <c r="F50" s="9">
        <f t="shared" si="1"/>
        <v>5.9799999999999995</v>
      </c>
      <c r="G50" s="9">
        <f>2.98-D50</f>
        <v>1.9</v>
      </c>
      <c r="H50" s="9">
        <f t="shared" si="2"/>
        <v>4.08</v>
      </c>
      <c r="J50" s="9"/>
      <c r="K50" s="9"/>
      <c r="L50" s="9"/>
      <c r="M50" s="9" t="e">
        <f>(L50-'Calibration SeaWater'!$B$24)/'Calibration SeaWater'!$B$23</f>
        <v>#DIV/0!</v>
      </c>
      <c r="N50" s="9" t="e">
        <f t="shared" si="3"/>
        <v>#DIV/0!</v>
      </c>
      <c r="O50" t="e">
        <f t="shared" si="4"/>
        <v>#DIV/0!</v>
      </c>
    </row>
    <row r="51" spans="1:15" x14ac:dyDescent="0.3">
      <c r="A51" s="9" t="s">
        <v>24</v>
      </c>
      <c r="B51" s="9">
        <v>43.56</v>
      </c>
      <c r="C51" s="9">
        <f t="shared" si="0"/>
        <v>9.0200000000000031</v>
      </c>
      <c r="D51" s="9">
        <v>1.1000000000000001</v>
      </c>
      <c r="E51" s="9">
        <v>7.18</v>
      </c>
      <c r="F51" s="9">
        <f t="shared" si="1"/>
        <v>6.08</v>
      </c>
      <c r="G51" s="9">
        <f>2.24-D51</f>
        <v>1.1400000000000001</v>
      </c>
      <c r="H51" s="9">
        <f t="shared" si="2"/>
        <v>4.9399999999999995</v>
      </c>
      <c r="I51">
        <v>34.53</v>
      </c>
      <c r="J51" s="9">
        <v>1</v>
      </c>
      <c r="K51" s="9"/>
      <c r="L51" s="9"/>
      <c r="M51" s="9" t="e">
        <f>(L51-'Calibration SeaWater'!$B$24)/'Calibration SeaWater'!$B$23</f>
        <v>#DIV/0!</v>
      </c>
      <c r="N51" s="9" t="e">
        <f t="shared" si="3"/>
        <v>#DIV/0!</v>
      </c>
      <c r="O51" t="e">
        <f t="shared" si="4"/>
        <v>#DIV/0!</v>
      </c>
    </row>
    <row r="52" spans="1:15" x14ac:dyDescent="0.3">
      <c r="A52" s="9" t="s">
        <v>25</v>
      </c>
      <c r="B52" s="9">
        <v>46.76</v>
      </c>
      <c r="C52" s="9">
        <f t="shared" ref="C52:C65" si="5">B52-B10</f>
        <v>12.579999999999998</v>
      </c>
      <c r="D52" s="9">
        <v>1.56</v>
      </c>
      <c r="E52" s="9">
        <v>13.12</v>
      </c>
      <c r="F52" s="9">
        <f t="shared" si="1"/>
        <v>11.559999999999999</v>
      </c>
      <c r="G52" s="9">
        <f>2.8-D52</f>
        <v>1.2399999999999998</v>
      </c>
      <c r="H52" s="9">
        <f t="shared" si="2"/>
        <v>10.319999999999999</v>
      </c>
      <c r="I52">
        <v>35.1</v>
      </c>
      <c r="J52" s="9">
        <v>1.01</v>
      </c>
      <c r="K52" s="9"/>
      <c r="L52" s="9"/>
      <c r="M52" s="9" t="e">
        <f>(L52-'Calibration SeaWater'!$B$24)/'Calibration SeaWater'!$B$23</f>
        <v>#DIV/0!</v>
      </c>
      <c r="N52" s="9" t="e">
        <f t="shared" si="3"/>
        <v>#DIV/0!</v>
      </c>
      <c r="O52" t="e">
        <f t="shared" si="4"/>
        <v>#DIV/0!</v>
      </c>
    </row>
    <row r="53" spans="1:15" x14ac:dyDescent="0.3">
      <c r="A53" s="9" t="s">
        <v>26</v>
      </c>
      <c r="B53" s="9">
        <v>47.59</v>
      </c>
      <c r="C53" s="9">
        <f t="shared" si="5"/>
        <v>13.160000000000004</v>
      </c>
      <c r="D53" s="9">
        <v>1.06</v>
      </c>
      <c r="E53" s="9">
        <v>8.4600000000000009</v>
      </c>
      <c r="F53" s="9">
        <f t="shared" si="1"/>
        <v>7.4</v>
      </c>
      <c r="G53" s="9">
        <f>2.51-D53</f>
        <v>1.4499999999999997</v>
      </c>
      <c r="H53" s="9">
        <f t="shared" si="2"/>
        <v>5.9500000000000011</v>
      </c>
      <c r="I53">
        <v>34.39</v>
      </c>
      <c r="J53" s="9">
        <v>1.03</v>
      </c>
      <c r="K53" s="9"/>
      <c r="L53" s="9"/>
      <c r="M53" s="9" t="e">
        <f>(L53-'Calibration SeaWater'!$B$24)/'Calibration SeaWater'!$B$23</f>
        <v>#DIV/0!</v>
      </c>
      <c r="N53" s="9" t="e">
        <f t="shared" si="3"/>
        <v>#DIV/0!</v>
      </c>
      <c r="O53" t="e">
        <f t="shared" si="4"/>
        <v>#DIV/0!</v>
      </c>
    </row>
    <row r="54" spans="1:15" x14ac:dyDescent="0.3">
      <c r="A54" s="9" t="s">
        <v>4</v>
      </c>
      <c r="B54" s="9">
        <v>65.09</v>
      </c>
      <c r="C54" s="9">
        <f t="shared" si="5"/>
        <v>30.28</v>
      </c>
      <c r="D54" s="9">
        <v>1.05</v>
      </c>
      <c r="E54" s="9">
        <v>12.48</v>
      </c>
      <c r="F54" s="9">
        <f t="shared" si="1"/>
        <v>11.43</v>
      </c>
      <c r="G54" s="9">
        <f>2.36-D54</f>
        <v>1.3099999999999998</v>
      </c>
      <c r="H54" s="9">
        <f t="shared" si="2"/>
        <v>10.119999999999999</v>
      </c>
      <c r="I54">
        <v>34.58</v>
      </c>
      <c r="J54" s="9">
        <v>1</v>
      </c>
      <c r="K54" s="9"/>
      <c r="L54" s="9"/>
      <c r="M54" s="9" t="e">
        <f>(L54-'Calibration SeaWater'!$B$24)/'Calibration SeaWater'!$B$23</f>
        <v>#DIV/0!</v>
      </c>
      <c r="N54" s="9" t="e">
        <f t="shared" si="3"/>
        <v>#DIV/0!</v>
      </c>
      <c r="O54" t="e">
        <f t="shared" si="4"/>
        <v>#DIV/0!</v>
      </c>
    </row>
    <row r="55" spans="1:15" x14ac:dyDescent="0.3">
      <c r="A55" s="9" t="s">
        <v>5</v>
      </c>
      <c r="B55" s="9">
        <v>58.05</v>
      </c>
      <c r="C55" s="9">
        <f t="shared" si="5"/>
        <v>22.849999999999994</v>
      </c>
      <c r="D55" s="9">
        <v>1.54</v>
      </c>
      <c r="E55" s="9">
        <v>6.56</v>
      </c>
      <c r="F55" s="9">
        <f t="shared" si="1"/>
        <v>5.0199999999999996</v>
      </c>
      <c r="G55" s="9">
        <f>2.35-D55</f>
        <v>0.81</v>
      </c>
      <c r="H55" s="9">
        <f t="shared" si="2"/>
        <v>4.2099999999999991</v>
      </c>
      <c r="I55">
        <v>34.46</v>
      </c>
      <c r="J55" s="9">
        <v>1</v>
      </c>
      <c r="K55" s="9"/>
      <c r="L55" s="9"/>
      <c r="M55" s="9" t="e">
        <f>(L55-'Calibration SeaWater'!$B$24)/'Calibration SeaWater'!$B$23</f>
        <v>#DIV/0!</v>
      </c>
      <c r="N55" s="9" t="e">
        <f t="shared" si="3"/>
        <v>#DIV/0!</v>
      </c>
      <c r="O55" t="e">
        <f t="shared" si="4"/>
        <v>#DIV/0!</v>
      </c>
    </row>
    <row r="56" spans="1:15" x14ac:dyDescent="0.3">
      <c r="A56" s="9" t="s">
        <v>6</v>
      </c>
      <c r="B56" s="9">
        <v>56.41</v>
      </c>
      <c r="C56" s="9">
        <f t="shared" si="5"/>
        <v>22</v>
      </c>
      <c r="D56" s="9">
        <v>1.08</v>
      </c>
      <c r="E56" s="9">
        <v>7.24</v>
      </c>
      <c r="F56" s="9">
        <f t="shared" si="1"/>
        <v>6.16</v>
      </c>
      <c r="G56" s="9">
        <f>2.43-D56</f>
        <v>1.35</v>
      </c>
      <c r="H56" s="9">
        <f t="shared" si="2"/>
        <v>4.8100000000000005</v>
      </c>
      <c r="I56">
        <v>34.49</v>
      </c>
      <c r="J56" s="9">
        <v>1.02</v>
      </c>
      <c r="K56" s="9"/>
      <c r="L56" s="9"/>
      <c r="M56" s="9" t="e">
        <f>(L56-'Calibration SeaWater'!$B$24)/'Calibration SeaWater'!$B$23</f>
        <v>#DIV/0!</v>
      </c>
      <c r="N56" s="9" t="e">
        <f t="shared" si="3"/>
        <v>#DIV/0!</v>
      </c>
      <c r="O56" t="e">
        <f t="shared" si="4"/>
        <v>#DIV/0!</v>
      </c>
    </row>
    <row r="57" spans="1:15" x14ac:dyDescent="0.3">
      <c r="A57" s="9" t="s">
        <v>3</v>
      </c>
      <c r="B57" s="9">
        <v>48.62</v>
      </c>
      <c r="C57" s="9">
        <f t="shared" si="5"/>
        <v>14.36</v>
      </c>
      <c r="D57" s="9">
        <v>1.07</v>
      </c>
      <c r="E57" s="9">
        <v>6.74</v>
      </c>
      <c r="F57" s="9">
        <f t="shared" si="1"/>
        <v>5.67</v>
      </c>
      <c r="G57" s="9">
        <f>4.63-D57</f>
        <v>3.5599999999999996</v>
      </c>
      <c r="H57" s="9">
        <f t="shared" si="2"/>
        <v>2.1100000000000003</v>
      </c>
      <c r="J57" s="9"/>
      <c r="K57" s="9"/>
      <c r="L57" s="9"/>
      <c r="M57" s="9" t="e">
        <f>(L57-'Calibration SeaWater'!$B$24)/'Calibration SeaWater'!$B$23</f>
        <v>#DIV/0!</v>
      </c>
      <c r="N57" s="9" t="e">
        <f t="shared" si="3"/>
        <v>#DIV/0!</v>
      </c>
      <c r="O57" t="e">
        <f t="shared" si="4"/>
        <v>#DIV/0!</v>
      </c>
    </row>
    <row r="58" spans="1:15" x14ac:dyDescent="0.3">
      <c r="A58" s="9" t="s">
        <v>7</v>
      </c>
      <c r="B58" s="9">
        <v>48.07</v>
      </c>
      <c r="C58" s="9">
        <f t="shared" si="5"/>
        <v>13.5</v>
      </c>
      <c r="D58" s="9">
        <v>1.05</v>
      </c>
      <c r="E58" s="9">
        <v>6.88</v>
      </c>
      <c r="F58" s="9">
        <f t="shared" si="1"/>
        <v>5.83</v>
      </c>
      <c r="G58" s="9">
        <f>3.48-D58</f>
        <v>2.4299999999999997</v>
      </c>
      <c r="H58" s="9">
        <f t="shared" si="2"/>
        <v>3.4000000000000004</v>
      </c>
      <c r="J58" s="9"/>
      <c r="K58" s="9"/>
      <c r="L58" s="9"/>
      <c r="M58" s="9" t="e">
        <f>(L58-'Calibration SeaWater'!$B$24)/'Calibration SeaWater'!$B$23</f>
        <v>#DIV/0!</v>
      </c>
      <c r="N58" s="9" t="e">
        <f t="shared" si="3"/>
        <v>#DIV/0!</v>
      </c>
      <c r="O58" t="e">
        <f t="shared" si="4"/>
        <v>#DIV/0!</v>
      </c>
    </row>
    <row r="59" spans="1:15" x14ac:dyDescent="0.3">
      <c r="A59" s="9" t="s">
        <v>8</v>
      </c>
      <c r="B59" s="9">
        <v>47.95</v>
      </c>
      <c r="C59" s="9">
        <f t="shared" si="5"/>
        <v>13.330000000000005</v>
      </c>
      <c r="D59" s="9">
        <v>1.1000000000000001</v>
      </c>
      <c r="E59" s="9">
        <v>6.44</v>
      </c>
      <c r="F59" s="9">
        <f t="shared" si="1"/>
        <v>5.34</v>
      </c>
      <c r="G59" s="9">
        <f>3.69-D59</f>
        <v>2.59</v>
      </c>
      <c r="H59" s="9">
        <f t="shared" si="2"/>
        <v>2.75</v>
      </c>
      <c r="J59" s="9"/>
      <c r="K59" s="9"/>
      <c r="L59" s="9"/>
      <c r="M59" s="9" t="e">
        <f>(L59-'Calibration SeaWater'!$B$24)/'Calibration SeaWater'!$B$23</f>
        <v>#DIV/0!</v>
      </c>
      <c r="N59" s="9" t="e">
        <f t="shared" si="3"/>
        <v>#DIV/0!</v>
      </c>
      <c r="O59" t="e">
        <f t="shared" si="4"/>
        <v>#DIV/0!</v>
      </c>
    </row>
    <row r="60" spans="1:15" x14ac:dyDescent="0.3">
      <c r="A60" s="9" t="s">
        <v>9</v>
      </c>
      <c r="B60" s="9">
        <v>47.59</v>
      </c>
      <c r="C60" s="9">
        <f t="shared" si="5"/>
        <v>12.660000000000004</v>
      </c>
      <c r="D60" s="9">
        <v>1.06</v>
      </c>
      <c r="E60" s="9">
        <v>6.38</v>
      </c>
      <c r="F60" s="9">
        <f t="shared" si="1"/>
        <v>5.32</v>
      </c>
      <c r="G60" s="9">
        <f>3.84-D60</f>
        <v>2.78</v>
      </c>
      <c r="H60" s="9">
        <f t="shared" si="2"/>
        <v>2.5400000000000005</v>
      </c>
      <c r="I60">
        <v>34.74</v>
      </c>
      <c r="J60" s="9">
        <v>1.03</v>
      </c>
      <c r="K60" s="9"/>
      <c r="L60" s="9"/>
      <c r="M60" s="9" t="e">
        <f>(L60-'Calibration SeaWater'!$B$24)/'Calibration SeaWater'!$B$23</f>
        <v>#DIV/0!</v>
      </c>
      <c r="N60" s="9" t="e">
        <f t="shared" si="3"/>
        <v>#DIV/0!</v>
      </c>
      <c r="O60" t="e">
        <f t="shared" si="4"/>
        <v>#DIV/0!</v>
      </c>
    </row>
    <row r="61" spans="1:15" x14ac:dyDescent="0.3">
      <c r="A61" s="9" t="s">
        <v>10</v>
      </c>
      <c r="B61" s="9">
        <v>47.2</v>
      </c>
      <c r="C61" s="9">
        <f t="shared" si="5"/>
        <v>12.68</v>
      </c>
      <c r="D61" s="9">
        <v>1.0900000000000001</v>
      </c>
      <c r="E61" s="9">
        <v>5.75</v>
      </c>
      <c r="F61" s="9">
        <f t="shared" si="1"/>
        <v>4.66</v>
      </c>
      <c r="G61" s="9">
        <f>3.3-D61</f>
        <v>2.21</v>
      </c>
      <c r="H61" s="9">
        <f t="shared" si="2"/>
        <v>2.4500000000000002</v>
      </c>
      <c r="I61">
        <v>34.71</v>
      </c>
      <c r="J61" s="9">
        <v>1.04</v>
      </c>
      <c r="K61" s="9"/>
      <c r="L61" s="9"/>
      <c r="M61" s="9" t="e">
        <f>(L61-'Calibration SeaWater'!$B$24)/'Calibration SeaWater'!$B$23</f>
        <v>#DIV/0!</v>
      </c>
      <c r="N61" s="9" t="e">
        <f t="shared" si="3"/>
        <v>#DIV/0!</v>
      </c>
      <c r="O61" t="e">
        <f t="shared" si="4"/>
        <v>#DIV/0!</v>
      </c>
    </row>
    <row r="62" spans="1:15" x14ac:dyDescent="0.3">
      <c r="A62" s="9" t="s">
        <v>11</v>
      </c>
      <c r="B62" s="9">
        <v>47.09</v>
      </c>
      <c r="C62" s="9">
        <f t="shared" si="5"/>
        <v>12.520000000000003</v>
      </c>
      <c r="D62" s="9">
        <v>1.08</v>
      </c>
      <c r="E62" s="9">
        <v>7</v>
      </c>
      <c r="F62" s="9">
        <f t="shared" si="1"/>
        <v>5.92</v>
      </c>
      <c r="G62" s="9">
        <f>3.3-D62</f>
        <v>2.2199999999999998</v>
      </c>
      <c r="H62" s="9">
        <f t="shared" si="2"/>
        <v>3.7</v>
      </c>
      <c r="I62">
        <v>34.51</v>
      </c>
      <c r="J62" s="9">
        <v>1.02</v>
      </c>
      <c r="K62" s="9"/>
      <c r="L62" s="9"/>
      <c r="M62" s="9" t="e">
        <f>(L62-'Calibration SeaWater'!$B$24)/'Calibration SeaWater'!$B$23</f>
        <v>#DIV/0!</v>
      </c>
      <c r="N62" s="9" t="e">
        <f t="shared" si="3"/>
        <v>#DIV/0!</v>
      </c>
      <c r="O62" t="e">
        <f t="shared" si="4"/>
        <v>#DIV/0!</v>
      </c>
    </row>
    <row r="63" spans="1:15" x14ac:dyDescent="0.3">
      <c r="A63" s="9" t="s">
        <v>12</v>
      </c>
      <c r="B63" s="9">
        <v>42.83</v>
      </c>
      <c r="C63" s="9">
        <f t="shared" si="5"/>
        <v>8.5300000000000011</v>
      </c>
      <c r="D63" s="9">
        <v>1.1399999999999999</v>
      </c>
      <c r="E63" s="9">
        <v>7.32</v>
      </c>
      <c r="F63" s="9">
        <f t="shared" si="1"/>
        <v>6.1800000000000006</v>
      </c>
      <c r="G63" s="9">
        <f>4.38-D63</f>
        <v>3.24</v>
      </c>
      <c r="H63" s="9">
        <f t="shared" si="2"/>
        <v>2.9400000000000004</v>
      </c>
      <c r="J63" s="9"/>
      <c r="K63" s="9"/>
      <c r="L63" s="9"/>
      <c r="M63" s="9" t="e">
        <f>(L63-'Calibration SeaWater'!$B$24)/'Calibration SeaWater'!$B$23</f>
        <v>#DIV/0!</v>
      </c>
      <c r="N63" s="9" t="e">
        <f t="shared" si="3"/>
        <v>#DIV/0!</v>
      </c>
      <c r="O63" t="e">
        <f t="shared" si="4"/>
        <v>#DIV/0!</v>
      </c>
    </row>
    <row r="64" spans="1:15" x14ac:dyDescent="0.3">
      <c r="A64" s="9" t="s">
        <v>13</v>
      </c>
      <c r="B64" s="9">
        <v>44.43</v>
      </c>
      <c r="C64" s="9">
        <f t="shared" si="5"/>
        <v>9.5499999999999972</v>
      </c>
      <c r="D64" s="9">
        <v>1.0900000000000001</v>
      </c>
      <c r="E64" s="9">
        <v>5.5</v>
      </c>
      <c r="F64" s="9">
        <f t="shared" si="1"/>
        <v>4.41</v>
      </c>
      <c r="G64" s="9">
        <f>4.33-D64</f>
        <v>3.24</v>
      </c>
      <c r="H64" s="9">
        <f t="shared" si="2"/>
        <v>1.17</v>
      </c>
      <c r="J64" s="9"/>
      <c r="K64" s="9"/>
      <c r="L64" s="9"/>
      <c r="M64" s="9" t="e">
        <f>(L64-'Calibration SeaWater'!$B$24)/'Calibration SeaWater'!$B$23</f>
        <v>#DIV/0!</v>
      </c>
      <c r="N64" s="9" t="e">
        <f t="shared" si="3"/>
        <v>#DIV/0!</v>
      </c>
      <c r="O64" t="e">
        <f t="shared" si="4"/>
        <v>#DIV/0!</v>
      </c>
    </row>
    <row r="65" spans="1:17" x14ac:dyDescent="0.3">
      <c r="A65" s="9" t="s">
        <v>14</v>
      </c>
      <c r="B65" s="9">
        <v>43.08</v>
      </c>
      <c r="C65" s="9">
        <f t="shared" si="5"/>
        <v>8.2100000000000009</v>
      </c>
      <c r="D65" s="9">
        <v>1.05</v>
      </c>
      <c r="E65" s="9">
        <v>5.12</v>
      </c>
      <c r="F65" s="9">
        <f t="shared" si="1"/>
        <v>4.07</v>
      </c>
      <c r="G65" s="9">
        <f>2.96-D65</f>
        <v>1.91</v>
      </c>
      <c r="H65" s="9">
        <f t="shared" si="2"/>
        <v>2.16</v>
      </c>
      <c r="J65" s="9"/>
      <c r="K65" s="9"/>
      <c r="L65" s="9"/>
      <c r="M65" s="9" t="e">
        <f>(L65-'Calibration SeaWater'!$B$24)/'Calibration SeaWater'!$B$23</f>
        <v>#DIV/0!</v>
      </c>
      <c r="N65" s="9" t="e">
        <f t="shared" si="3"/>
        <v>#DIV/0!</v>
      </c>
      <c r="O65" t="e">
        <f t="shared" si="4"/>
        <v>#DIV/0!</v>
      </c>
    </row>
    <row r="68" spans="1:17" ht="15" thickBot="1" x14ac:dyDescent="0.35"/>
    <row r="69" spans="1:17" ht="15" thickBot="1" x14ac:dyDescent="0.35">
      <c r="A69" s="53" t="s">
        <v>100</v>
      </c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5"/>
    </row>
    <row r="70" spans="1:17" ht="43.2" x14ac:dyDescent="0.3">
      <c r="A70" s="11" t="s">
        <v>94</v>
      </c>
      <c r="B70" s="11" t="s">
        <v>105</v>
      </c>
      <c r="C70" s="11" t="s">
        <v>106</v>
      </c>
      <c r="D70" s="11" t="s">
        <v>95</v>
      </c>
      <c r="E70" s="11" t="s">
        <v>107</v>
      </c>
      <c r="F70" s="11" t="s">
        <v>96</v>
      </c>
      <c r="G70" s="11" t="s">
        <v>108</v>
      </c>
      <c r="H70" s="11" t="s">
        <v>97</v>
      </c>
      <c r="I70" s="11" t="s">
        <v>109</v>
      </c>
      <c r="J70" s="11" t="s">
        <v>98</v>
      </c>
      <c r="K70" s="11" t="s">
        <v>110</v>
      </c>
      <c r="L70" s="11" t="s">
        <v>99</v>
      </c>
      <c r="M70" s="11" t="s">
        <v>111</v>
      </c>
      <c r="N70" s="11" t="s">
        <v>112</v>
      </c>
      <c r="O70" s="11" t="s">
        <v>113</v>
      </c>
    </row>
    <row r="71" spans="1:17" x14ac:dyDescent="0.3">
      <c r="A71" s="13" t="s">
        <v>15</v>
      </c>
      <c r="B71" s="13">
        <f t="shared" ref="B71:B91" si="6">0.1018/2</f>
        <v>5.0900000000000001E-2</v>
      </c>
      <c r="C71" s="13">
        <f>B71*0.05</f>
        <v>2.5450000000000004E-3</v>
      </c>
      <c r="D71" s="22">
        <f>(F3*0.05)/1000</f>
        <v>1.988414203499449E-3</v>
      </c>
      <c r="E71" s="21">
        <f>D71/C71</f>
        <v>0.78130224106068713</v>
      </c>
      <c r="F71" s="22">
        <f>(H3*0.05)/1000</f>
        <v>1.0289534559247511E-3</v>
      </c>
      <c r="G71" s="20">
        <f>F71/C71</f>
        <v>0.40430391195471549</v>
      </c>
      <c r="H71" s="22">
        <f>(J3*0.05)/1000</f>
        <v>1.0259997542903499E-3</v>
      </c>
      <c r="I71" s="20">
        <f>H71/C71</f>
        <v>0.40314332192155194</v>
      </c>
      <c r="J71" s="22">
        <f>(L3*0.05)/1000</f>
        <v>1.0176309329928796E-3</v>
      </c>
      <c r="K71" s="20">
        <f>J71/C71</f>
        <v>0.39985498349425519</v>
      </c>
      <c r="L71" s="13" t="e">
        <f>(O45*G45)/1000</f>
        <v>#DIV/0!</v>
      </c>
      <c r="M71" s="22">
        <f>(C71-J71)</f>
        <v>1.5273690670071208E-3</v>
      </c>
      <c r="N71" s="20">
        <f t="shared" ref="N71:N91" si="7">100% -K71</f>
        <v>0.60014501650574481</v>
      </c>
      <c r="O71" s="23" t="e">
        <f>L71/C71</f>
        <v>#DIV/0!</v>
      </c>
    </row>
    <row r="72" spans="1:17" x14ac:dyDescent="0.3">
      <c r="A72" s="13" t="s">
        <v>16</v>
      </c>
      <c r="B72" s="13">
        <f t="shared" si="6"/>
        <v>5.0900000000000001E-2</v>
      </c>
      <c r="C72" s="13">
        <f t="shared" ref="C72:C91" si="8">B72*0.05</f>
        <v>2.5450000000000004E-3</v>
      </c>
      <c r="D72" s="22">
        <f t="shared" ref="D72:D91" si="9">(F4*0.05)/1000</f>
        <v>2.1169002245959071E-3</v>
      </c>
      <c r="E72" s="21">
        <f t="shared" ref="E72:E91" si="10">D72/C72</f>
        <v>0.83178790750330323</v>
      </c>
      <c r="F72" s="22">
        <f t="shared" ref="F72:F91" si="11">(H4*0.05)/1000</f>
        <v>1.1106725344765215E-3</v>
      </c>
      <c r="G72" s="20">
        <f t="shared" ref="G72:G91" si="12">F72/C72</f>
        <v>0.4364135695389082</v>
      </c>
      <c r="H72" s="22">
        <f t="shared" ref="H72:H91" si="13">(J4*0.05)/1000</f>
        <v>1.1702388507702814E-3</v>
      </c>
      <c r="I72" s="20">
        <f t="shared" ref="I72:I91" si="14">H72/C72</f>
        <v>0.45981880187437374</v>
      </c>
      <c r="J72" s="22">
        <f t="shared" ref="J72:J91" si="15">(L4*0.05)/1000</f>
        <v>1.0058161264552741E-3</v>
      </c>
      <c r="K72" s="20">
        <f t="shared" ref="K72:K91" si="16">J72/C72</f>
        <v>0.39521262336160073</v>
      </c>
      <c r="L72" s="13" t="e">
        <f t="shared" ref="L72:L91" si="17">(O46*G46)/1000</f>
        <v>#DIV/0!</v>
      </c>
      <c r="M72" s="22">
        <f t="shared" ref="M72:M91" si="18">(C72-J72)</f>
        <v>1.5391838735447263E-3</v>
      </c>
      <c r="N72" s="20">
        <f t="shared" si="7"/>
        <v>0.60478737663839932</v>
      </c>
      <c r="O72" s="23" t="e">
        <f t="shared" ref="O72:O91" si="19">L72/C72</f>
        <v>#DIV/0!</v>
      </c>
    </row>
    <row r="73" spans="1:17" x14ac:dyDescent="0.3">
      <c r="A73" s="13" t="s">
        <v>17</v>
      </c>
      <c r="B73" s="13">
        <f t="shared" si="6"/>
        <v>5.0900000000000001E-2</v>
      </c>
      <c r="C73" s="13">
        <f t="shared" si="8"/>
        <v>2.5450000000000004E-3</v>
      </c>
      <c r="D73" s="22">
        <f t="shared" si="9"/>
        <v>1.4769315371422861E-3</v>
      </c>
      <c r="E73" s="21">
        <f t="shared" si="10"/>
        <v>0.58032673365119292</v>
      </c>
      <c r="F73" s="22">
        <f t="shared" si="11"/>
        <v>1.3366307095082231E-3</v>
      </c>
      <c r="G73" s="20">
        <f t="shared" si="12"/>
        <v>0.52519870707592253</v>
      </c>
      <c r="H73" s="22">
        <f t="shared" si="13"/>
        <v>7.0921525400080749E-4</v>
      </c>
      <c r="I73" s="20">
        <f t="shared" si="14"/>
        <v>0.27867004086475733</v>
      </c>
      <c r="J73" s="22">
        <f t="shared" si="15"/>
        <v>1.2115906736518999E-3</v>
      </c>
      <c r="K73" s="20">
        <f t="shared" si="16"/>
        <v>0.47606706233866392</v>
      </c>
      <c r="L73" s="13" t="e">
        <f t="shared" si="17"/>
        <v>#DIV/0!</v>
      </c>
      <c r="M73" s="22">
        <f t="shared" si="18"/>
        <v>1.3334093263481005E-3</v>
      </c>
      <c r="N73" s="20">
        <f t="shared" si="7"/>
        <v>0.52393293766133608</v>
      </c>
      <c r="O73" s="23" t="e">
        <f t="shared" si="19"/>
        <v>#DIV/0!</v>
      </c>
    </row>
    <row r="74" spans="1:17" x14ac:dyDescent="0.3">
      <c r="A74" s="13" t="s">
        <v>27</v>
      </c>
      <c r="B74" s="13">
        <f t="shared" si="6"/>
        <v>5.0900000000000001E-2</v>
      </c>
      <c r="C74" s="13">
        <f t="shared" si="8"/>
        <v>2.5450000000000004E-3</v>
      </c>
      <c r="D74" s="22">
        <f t="shared" si="9"/>
        <v>1.4213034896943943E-3</v>
      </c>
      <c r="E74" s="21">
        <f t="shared" si="10"/>
        <v>0.55846895469327862</v>
      </c>
      <c r="F74" s="22">
        <f t="shared" si="11"/>
        <v>1.2278360326411072E-3</v>
      </c>
      <c r="G74" s="20">
        <f t="shared" si="12"/>
        <v>0.48245030752106366</v>
      </c>
      <c r="H74" s="22">
        <f t="shared" si="13"/>
        <v>1.071289846017837E-3</v>
      </c>
      <c r="I74" s="20">
        <f t="shared" si="14"/>
        <v>0.42093903576339364</v>
      </c>
      <c r="J74" s="22">
        <f t="shared" si="15"/>
        <v>1.1909147622110906E-3</v>
      </c>
      <c r="K74" s="20">
        <f t="shared" si="16"/>
        <v>0.46794293210651883</v>
      </c>
      <c r="L74" s="13" t="e">
        <f t="shared" si="17"/>
        <v>#DIV/0!</v>
      </c>
      <c r="M74" s="22">
        <f t="shared" si="18"/>
        <v>1.3540852377889098E-3</v>
      </c>
      <c r="N74" s="20">
        <f t="shared" si="7"/>
        <v>0.53205706789348117</v>
      </c>
      <c r="O74" s="23" t="e">
        <f t="shared" si="19"/>
        <v>#DIV/0!</v>
      </c>
    </row>
    <row r="75" spans="1:17" x14ac:dyDescent="0.3">
      <c r="A75" s="13" t="s">
        <v>28</v>
      </c>
      <c r="B75" s="13">
        <f t="shared" si="6"/>
        <v>5.0900000000000001E-2</v>
      </c>
      <c r="C75" s="13">
        <f t="shared" si="8"/>
        <v>2.5450000000000004E-3</v>
      </c>
      <c r="D75" s="22">
        <f t="shared" si="9"/>
        <v>1.5753882582889968E-3</v>
      </c>
      <c r="E75" s="21">
        <f t="shared" si="10"/>
        <v>0.61901306808997902</v>
      </c>
      <c r="F75" s="22">
        <f t="shared" si="11"/>
        <v>1.2480196604761828E-3</v>
      </c>
      <c r="G75" s="20">
        <f t="shared" si="12"/>
        <v>0.49038100608101476</v>
      </c>
      <c r="H75" s="22">
        <f t="shared" si="13"/>
        <v>1.2672187210997917E-3</v>
      </c>
      <c r="I75" s="20">
        <f t="shared" si="14"/>
        <v>0.49792484129657821</v>
      </c>
      <c r="J75" s="22">
        <f t="shared" si="15"/>
        <v>1.0451988149139584E-3</v>
      </c>
      <c r="K75" s="20">
        <f t="shared" si="16"/>
        <v>0.41068715713711523</v>
      </c>
      <c r="L75" s="13" t="e">
        <f t="shared" si="17"/>
        <v>#DIV/0!</v>
      </c>
      <c r="M75" s="22">
        <f t="shared" si="18"/>
        <v>1.499801185086042E-3</v>
      </c>
      <c r="N75" s="20">
        <f t="shared" si="7"/>
        <v>0.58931284286288477</v>
      </c>
      <c r="O75" s="23" t="e">
        <f t="shared" si="19"/>
        <v>#DIV/0!</v>
      </c>
    </row>
    <row r="76" spans="1:17" x14ac:dyDescent="0.3">
      <c r="A76" s="13" t="s">
        <v>29</v>
      </c>
      <c r="B76" s="13">
        <f t="shared" si="6"/>
        <v>5.0900000000000001E-2</v>
      </c>
      <c r="C76" s="13">
        <f t="shared" si="8"/>
        <v>2.5450000000000004E-3</v>
      </c>
      <c r="D76" s="22">
        <f t="shared" si="9"/>
        <v>1.7496566547186749E-3</v>
      </c>
      <c r="E76" s="21">
        <f t="shared" si="10"/>
        <v>0.68748788004663053</v>
      </c>
      <c r="F76" s="22">
        <f t="shared" si="11"/>
        <v>1.2455582424475151E-3</v>
      </c>
      <c r="G76" s="20">
        <f t="shared" si="12"/>
        <v>0.48941384772004515</v>
      </c>
      <c r="H76" s="22">
        <f t="shared" si="13"/>
        <v>1.30857054398141E-3</v>
      </c>
      <c r="I76" s="20">
        <f t="shared" si="14"/>
        <v>0.51417310176086828</v>
      </c>
      <c r="J76" s="22">
        <f t="shared" si="15"/>
        <v>1.1357789983689325E-3</v>
      </c>
      <c r="K76" s="20">
        <f t="shared" si="16"/>
        <v>0.44627858482079857</v>
      </c>
      <c r="L76" s="13" t="e">
        <f t="shared" si="17"/>
        <v>#DIV/0!</v>
      </c>
      <c r="M76" s="22">
        <f t="shared" si="18"/>
        <v>1.4092210016310679E-3</v>
      </c>
      <c r="N76" s="20">
        <f t="shared" si="7"/>
        <v>0.55372141517920137</v>
      </c>
      <c r="O76" s="23" t="e">
        <f t="shared" si="19"/>
        <v>#DIV/0!</v>
      </c>
    </row>
    <row r="77" spans="1:17" x14ac:dyDescent="0.3">
      <c r="A77" s="13" t="s">
        <v>30</v>
      </c>
      <c r="B77" s="13">
        <f t="shared" si="6"/>
        <v>5.0900000000000001E-2</v>
      </c>
      <c r="C77" s="13">
        <f t="shared" si="8"/>
        <v>2.5450000000000004E-3</v>
      </c>
      <c r="D77" s="22">
        <f t="shared" si="9"/>
        <v>8.9209861353082317E-4</v>
      </c>
      <c r="E77" s="21">
        <f t="shared" si="10"/>
        <v>0.35052990708480275</v>
      </c>
      <c r="F77" s="22">
        <f t="shared" si="11"/>
        <v>6.3955712378950969E-4</v>
      </c>
      <c r="G77" s="20">
        <f t="shared" si="12"/>
        <v>0.25129945924931613</v>
      </c>
      <c r="H77" s="22">
        <f t="shared" si="13"/>
        <v>2.2357747694465606E-4</v>
      </c>
      <c r="I77" s="20">
        <f t="shared" si="14"/>
        <v>8.7849696245444406E-2</v>
      </c>
      <c r="J77" s="22">
        <f t="shared" si="15"/>
        <v>1.1281366565460627E-4</v>
      </c>
      <c r="K77" s="20">
        <f t="shared" si="16"/>
        <v>4.4327570001809924E-2</v>
      </c>
      <c r="L77" s="13" t="e">
        <f t="shared" si="17"/>
        <v>#DIV/0!</v>
      </c>
      <c r="M77" s="22">
        <f t="shared" si="18"/>
        <v>2.4321863343453941E-3</v>
      </c>
      <c r="N77" s="20">
        <f t="shared" si="7"/>
        <v>0.95567242999819002</v>
      </c>
      <c r="O77" s="23" t="e">
        <f t="shared" si="19"/>
        <v>#DIV/0!</v>
      </c>
    </row>
    <row r="78" spans="1:17" x14ac:dyDescent="0.3">
      <c r="A78" s="13" t="s">
        <v>31</v>
      </c>
      <c r="B78" s="13">
        <f t="shared" si="6"/>
        <v>5.0900000000000001E-2</v>
      </c>
      <c r="C78" s="13">
        <f t="shared" si="8"/>
        <v>2.5450000000000004E-3</v>
      </c>
      <c r="D78" s="22">
        <f t="shared" si="9"/>
        <v>7.7001227930890157E-4</v>
      </c>
      <c r="E78" s="21">
        <f t="shared" si="10"/>
        <v>0.30255885238070784</v>
      </c>
      <c r="F78" s="22">
        <f t="shared" si="11"/>
        <v>1.4358139101295343E-4</v>
      </c>
      <c r="G78" s="20">
        <f t="shared" si="12"/>
        <v>5.641704951393061E-2</v>
      </c>
      <c r="H78" s="22">
        <f t="shared" si="13"/>
        <v>1.578576155792265E-4</v>
      </c>
      <c r="I78" s="20">
        <f t="shared" si="14"/>
        <v>6.2026568007554607E-2</v>
      </c>
      <c r="J78" s="22">
        <f t="shared" si="15"/>
        <v>9.18916124109302E-5</v>
      </c>
      <c r="K78" s="20">
        <f t="shared" si="16"/>
        <v>3.6106723933567855E-2</v>
      </c>
      <c r="L78" s="13" t="e">
        <f t="shared" si="17"/>
        <v>#DIV/0!</v>
      </c>
      <c r="M78" s="22">
        <f t="shared" si="18"/>
        <v>2.4531083875890701E-3</v>
      </c>
      <c r="N78" s="20">
        <f t="shared" si="7"/>
        <v>0.96389327606643216</v>
      </c>
      <c r="O78" s="23" t="e">
        <f t="shared" si="19"/>
        <v>#DIV/0!</v>
      </c>
    </row>
    <row r="79" spans="1:17" x14ac:dyDescent="0.3">
      <c r="A79" s="13" t="s">
        <v>32</v>
      </c>
      <c r="B79" s="13">
        <f t="shared" si="6"/>
        <v>5.0900000000000001E-2</v>
      </c>
      <c r="C79" s="13">
        <f t="shared" si="8"/>
        <v>2.5450000000000004E-3</v>
      </c>
      <c r="D79" s="22">
        <f t="shared" si="9"/>
        <v>7.09953679409408E-4</v>
      </c>
      <c r="E79" s="21">
        <f t="shared" si="10"/>
        <v>0.27896018837304831</v>
      </c>
      <c r="F79" s="22">
        <f t="shared" si="11"/>
        <v>6.2035806316590089E-4</v>
      </c>
      <c r="G79" s="20">
        <f t="shared" si="12"/>
        <v>0.24375562403375278</v>
      </c>
      <c r="H79" s="22">
        <f t="shared" si="13"/>
        <v>4.9531802730957812E-4</v>
      </c>
      <c r="I79" s="20">
        <f t="shared" si="14"/>
        <v>0.19462397929649433</v>
      </c>
      <c r="J79" s="22">
        <f t="shared" si="15"/>
        <v>1.113368148374056E-4</v>
      </c>
      <c r="K79" s="20">
        <f t="shared" si="16"/>
        <v>4.3747274985228131E-2</v>
      </c>
      <c r="L79" s="13" t="e">
        <f t="shared" si="17"/>
        <v>#DIV/0!</v>
      </c>
      <c r="M79" s="22">
        <f t="shared" si="18"/>
        <v>2.4336631851625949E-3</v>
      </c>
      <c r="N79" s="20">
        <f t="shared" si="7"/>
        <v>0.95625272501477188</v>
      </c>
      <c r="O79" s="23" t="e">
        <f t="shared" si="19"/>
        <v>#DIV/0!</v>
      </c>
      <c r="Q79" s="28"/>
    </row>
    <row r="80" spans="1:17" x14ac:dyDescent="0.3">
      <c r="A80" s="13" t="s">
        <v>33</v>
      </c>
      <c r="B80" s="13">
        <f t="shared" si="6"/>
        <v>5.0900000000000001E-2</v>
      </c>
      <c r="C80" s="13">
        <f t="shared" si="8"/>
        <v>2.5450000000000004E-3</v>
      </c>
      <c r="D80" s="22">
        <f t="shared" si="9"/>
        <v>5.9279018124482193E-4</v>
      </c>
      <c r="E80" s="21">
        <f t="shared" si="10"/>
        <v>0.23292345039089266</v>
      </c>
      <c r="F80" s="22">
        <f t="shared" si="11"/>
        <v>1.0589827558744982E-3</v>
      </c>
      <c r="G80" s="20">
        <f t="shared" si="12"/>
        <v>0.41610324395854537</v>
      </c>
      <c r="H80" s="22">
        <f t="shared" si="13"/>
        <v>4.7661125029170305E-4</v>
      </c>
      <c r="I80" s="20">
        <f t="shared" si="14"/>
        <v>0.18727357575312495</v>
      </c>
      <c r="J80" s="22">
        <f t="shared" si="15"/>
        <v>3.0825025713082741E-4</v>
      </c>
      <c r="K80" s="20">
        <f t="shared" si="16"/>
        <v>0.12111994386280053</v>
      </c>
      <c r="L80" s="13" t="e">
        <f t="shared" si="17"/>
        <v>#DIV/0!</v>
      </c>
      <c r="M80" s="22">
        <f t="shared" si="18"/>
        <v>2.236749742869173E-3</v>
      </c>
      <c r="N80" s="20">
        <f t="shared" si="7"/>
        <v>0.87888005613719944</v>
      </c>
      <c r="O80" s="23" t="e">
        <f t="shared" si="19"/>
        <v>#DIV/0!</v>
      </c>
    </row>
    <row r="81" spans="1:15" x14ac:dyDescent="0.3">
      <c r="A81" s="13" t="s">
        <v>34</v>
      </c>
      <c r="B81" s="13">
        <f t="shared" si="6"/>
        <v>5.0900000000000001E-2</v>
      </c>
      <c r="C81" s="13">
        <f t="shared" si="8"/>
        <v>2.5450000000000004E-3</v>
      </c>
      <c r="D81" s="22">
        <f t="shared" si="9"/>
        <v>1.0230460526559485E-3</v>
      </c>
      <c r="E81" s="21">
        <f t="shared" si="10"/>
        <v>0.40198273188838834</v>
      </c>
      <c r="F81" s="22">
        <f t="shared" si="11"/>
        <v>7.7296598094330274E-4</v>
      </c>
      <c r="G81" s="20">
        <f t="shared" si="12"/>
        <v>0.30371944241387139</v>
      </c>
      <c r="H81" s="22">
        <f t="shared" si="13"/>
        <v>4.1261438154634102E-4</v>
      </c>
      <c r="I81" s="20">
        <f t="shared" si="14"/>
        <v>0.16212745836791392</v>
      </c>
      <c r="J81" s="22">
        <f t="shared" si="15"/>
        <v>3.2597246693723535E-4</v>
      </c>
      <c r="K81" s="20">
        <f t="shared" si="16"/>
        <v>0.12808348406178205</v>
      </c>
      <c r="L81" s="13" t="e">
        <f t="shared" si="17"/>
        <v>#DIV/0!</v>
      </c>
      <c r="M81" s="22">
        <f t="shared" si="18"/>
        <v>2.2190275330627651E-3</v>
      </c>
      <c r="N81" s="20">
        <f t="shared" si="7"/>
        <v>0.87191651593821795</v>
      </c>
      <c r="O81" s="23" t="e">
        <f t="shared" si="19"/>
        <v>#DIV/0!</v>
      </c>
    </row>
    <row r="82" spans="1:15" x14ac:dyDescent="0.3">
      <c r="A82" s="13" t="s">
        <v>35</v>
      </c>
      <c r="B82" s="13">
        <f t="shared" si="6"/>
        <v>5.0900000000000001E-2</v>
      </c>
      <c r="C82" s="13">
        <f t="shared" si="8"/>
        <v>2.5450000000000004E-3</v>
      </c>
      <c r="D82" s="22">
        <f t="shared" si="9"/>
        <v>4.6381187654263064E-4</v>
      </c>
      <c r="E82" s="21">
        <f t="shared" si="10"/>
        <v>0.18224435227608274</v>
      </c>
      <c r="F82" s="22">
        <f t="shared" si="11"/>
        <v>4.3156730036708282E-4</v>
      </c>
      <c r="G82" s="20">
        <f t="shared" si="12"/>
        <v>0.16957457774738025</v>
      </c>
      <c r="H82" s="22">
        <f t="shared" si="13"/>
        <v>3.9439988813419946E-4</v>
      </c>
      <c r="I82" s="20">
        <f t="shared" si="14"/>
        <v>0.15497048649673847</v>
      </c>
      <c r="J82" s="22">
        <f t="shared" si="15"/>
        <v>2.1028581958985003E-4</v>
      </c>
      <c r="K82" s="20">
        <f t="shared" si="16"/>
        <v>8.2627041096208248E-2</v>
      </c>
      <c r="L82" s="13" t="e">
        <f t="shared" si="17"/>
        <v>#DIV/0!</v>
      </c>
      <c r="M82" s="22">
        <f t="shared" si="18"/>
        <v>2.3347141804101502E-3</v>
      </c>
      <c r="N82" s="20">
        <f t="shared" si="7"/>
        <v>0.91737295890379178</v>
      </c>
      <c r="O82" s="23" t="e">
        <f t="shared" si="19"/>
        <v>#DIV/0!</v>
      </c>
    </row>
    <row r="83" spans="1:15" x14ac:dyDescent="0.3">
      <c r="A83" s="13" t="s">
        <v>36</v>
      </c>
      <c r="B83" s="13">
        <f t="shared" si="6"/>
        <v>5.0900000000000001E-2</v>
      </c>
      <c r="C83" s="13">
        <f t="shared" si="8"/>
        <v>2.5450000000000004E-3</v>
      </c>
      <c r="D83" s="22">
        <f t="shared" si="9"/>
        <v>7.2816817282154946E-4</v>
      </c>
      <c r="E83" s="21">
        <f t="shared" si="10"/>
        <v>0.28611716024422373</v>
      </c>
      <c r="F83" s="22">
        <f t="shared" si="11"/>
        <v>6.1592751071429892E-4</v>
      </c>
      <c r="G83" s="20">
        <f t="shared" si="12"/>
        <v>0.24201473898400741</v>
      </c>
      <c r="H83" s="22">
        <f t="shared" si="13"/>
        <v>4.3181344216994955E-4</v>
      </c>
      <c r="I83" s="20">
        <f t="shared" si="14"/>
        <v>0.16967129358347721</v>
      </c>
      <c r="J83" s="22">
        <f t="shared" si="15"/>
        <v>2.7132898670081078E-4</v>
      </c>
      <c r="K83" s="20">
        <f t="shared" si="16"/>
        <v>0.10661256844825569</v>
      </c>
      <c r="L83" s="13" t="e">
        <f t="shared" si="17"/>
        <v>#DIV/0!</v>
      </c>
      <c r="M83" s="22">
        <f t="shared" si="18"/>
        <v>2.2736710132991896E-3</v>
      </c>
      <c r="N83" s="20">
        <f t="shared" si="7"/>
        <v>0.89338743155174427</v>
      </c>
      <c r="O83" s="23" t="e">
        <f t="shared" si="19"/>
        <v>#DIV/0!</v>
      </c>
    </row>
    <row r="84" spans="1:15" x14ac:dyDescent="0.3">
      <c r="A84" s="13" t="s">
        <v>40</v>
      </c>
      <c r="B84" s="13">
        <f t="shared" si="6"/>
        <v>5.0900000000000001E-2</v>
      </c>
      <c r="C84" s="13">
        <f t="shared" si="8"/>
        <v>2.5450000000000004E-3</v>
      </c>
      <c r="D84" s="22">
        <f t="shared" si="9"/>
        <v>7.6508944325156603E-4</v>
      </c>
      <c r="E84" s="21">
        <f t="shared" si="10"/>
        <v>0.30062453565876851</v>
      </c>
      <c r="F84" s="22">
        <f t="shared" si="11"/>
        <v>5.8294450913015086E-4</v>
      </c>
      <c r="G84" s="20">
        <f t="shared" si="12"/>
        <v>0.22905481694701404</v>
      </c>
      <c r="H84" s="22">
        <f t="shared" si="13"/>
        <v>3.0135828665055762E-4</v>
      </c>
      <c r="I84" s="20">
        <f t="shared" si="14"/>
        <v>0.11841190045208549</v>
      </c>
      <c r="J84" s="22">
        <f t="shared" si="15"/>
        <v>2.486839408370673E-4</v>
      </c>
      <c r="K84" s="20">
        <f t="shared" si="16"/>
        <v>9.771471152733488E-2</v>
      </c>
      <c r="L84" s="13" t="e">
        <f t="shared" si="17"/>
        <v>#DIV/0!</v>
      </c>
      <c r="M84" s="22">
        <f t="shared" si="18"/>
        <v>2.2963160591629329E-3</v>
      </c>
      <c r="N84" s="20">
        <f t="shared" si="7"/>
        <v>0.90228528847266509</v>
      </c>
      <c r="O84" s="23" t="e">
        <f t="shared" si="19"/>
        <v>#DIV/0!</v>
      </c>
    </row>
    <row r="85" spans="1:15" x14ac:dyDescent="0.3">
      <c r="A85" s="13" t="s">
        <v>41</v>
      </c>
      <c r="B85" s="13">
        <f t="shared" si="6"/>
        <v>5.0900000000000001E-2</v>
      </c>
      <c r="C85" s="13">
        <f t="shared" si="8"/>
        <v>2.5450000000000004E-3</v>
      </c>
      <c r="D85" s="22">
        <f t="shared" si="9"/>
        <v>7.709968465203687E-4</v>
      </c>
      <c r="E85" s="21">
        <f t="shared" si="10"/>
        <v>0.30294571572509571</v>
      </c>
      <c r="F85" s="22">
        <f t="shared" si="11"/>
        <v>6.2035806316590089E-4</v>
      </c>
      <c r="G85" s="20">
        <f t="shared" si="12"/>
        <v>0.24375562403375278</v>
      </c>
      <c r="H85" s="22">
        <f t="shared" si="13"/>
        <v>2.772363899696135E-4</v>
      </c>
      <c r="I85" s="20">
        <f t="shared" si="14"/>
        <v>0.10893374851458289</v>
      </c>
      <c r="J85" s="22">
        <f t="shared" si="15"/>
        <v>1.6794942949676438E-4</v>
      </c>
      <c r="K85" s="20">
        <f t="shared" si="16"/>
        <v>6.5991917287530205E-2</v>
      </c>
      <c r="L85" s="13" t="e">
        <f t="shared" si="17"/>
        <v>#DIV/0!</v>
      </c>
      <c r="M85" s="22">
        <f t="shared" si="18"/>
        <v>2.3770505705032361E-3</v>
      </c>
      <c r="N85" s="20">
        <f t="shared" si="7"/>
        <v>0.93400808271246982</v>
      </c>
      <c r="O85" s="23" t="e">
        <f t="shared" si="19"/>
        <v>#DIV/0!</v>
      </c>
    </row>
    <row r="86" spans="1:15" x14ac:dyDescent="0.3">
      <c r="A86" s="13" t="s">
        <v>37</v>
      </c>
      <c r="B86" s="13">
        <f t="shared" si="6"/>
        <v>5.0900000000000001E-2</v>
      </c>
      <c r="C86" s="13">
        <f t="shared" si="8"/>
        <v>2.5450000000000004E-3</v>
      </c>
      <c r="D86" s="22">
        <f t="shared" si="9"/>
        <v>1.0639055919318336E-3</v>
      </c>
      <c r="E86" s="21">
        <f t="shared" si="10"/>
        <v>0.41803756068048464</v>
      </c>
      <c r="F86" s="22">
        <f t="shared" si="11"/>
        <v>3.7347783489052346E-4</v>
      </c>
      <c r="G86" s="20">
        <f t="shared" si="12"/>
        <v>0.14674964042849642</v>
      </c>
      <c r="H86" s="22">
        <f t="shared" si="13"/>
        <v>3.3483357184043935E-4</v>
      </c>
      <c r="I86" s="20">
        <f t="shared" si="14"/>
        <v>0.13156525416127282</v>
      </c>
      <c r="J86" s="22">
        <f t="shared" si="15"/>
        <v>4.1704493399794294E-4</v>
      </c>
      <c r="K86" s="20">
        <f t="shared" si="16"/>
        <v>0.1638683434176593</v>
      </c>
      <c r="L86" s="13" t="e">
        <f t="shared" si="17"/>
        <v>#DIV/0!</v>
      </c>
      <c r="M86" s="22">
        <f t="shared" si="18"/>
        <v>2.1279550660020575E-3</v>
      </c>
      <c r="N86" s="20">
        <f t="shared" si="7"/>
        <v>0.83613165658234068</v>
      </c>
      <c r="O86" s="23" t="e">
        <f t="shared" si="19"/>
        <v>#DIV/0!</v>
      </c>
    </row>
    <row r="87" spans="1:15" x14ac:dyDescent="0.3">
      <c r="A87" s="13" t="s">
        <v>42</v>
      </c>
      <c r="B87" s="13">
        <f t="shared" si="6"/>
        <v>5.0900000000000001E-2</v>
      </c>
      <c r="C87" s="13">
        <f t="shared" si="8"/>
        <v>2.5450000000000004E-3</v>
      </c>
      <c r="D87" s="22">
        <f t="shared" si="9"/>
        <v>9.8267879698579709E-4</v>
      </c>
      <c r="E87" s="21">
        <f t="shared" si="10"/>
        <v>0.38612133476848604</v>
      </c>
      <c r="F87" s="22">
        <f t="shared" si="11"/>
        <v>7.87242205509576E-4</v>
      </c>
      <c r="G87" s="20">
        <f t="shared" si="12"/>
        <v>0.30932896090749545</v>
      </c>
      <c r="H87" s="22">
        <f t="shared" si="13"/>
        <v>7.1290738104380928E-4</v>
      </c>
      <c r="I87" s="20">
        <f t="shared" si="14"/>
        <v>0.28012077840621186</v>
      </c>
      <c r="J87" s="22">
        <f t="shared" si="15"/>
        <v>5.0122543057838078E-4</v>
      </c>
      <c r="K87" s="20">
        <f t="shared" si="16"/>
        <v>0.1969451593628215</v>
      </c>
      <c r="L87" s="13" t="e">
        <f t="shared" si="17"/>
        <v>#DIV/0!</v>
      </c>
      <c r="M87" s="22">
        <f t="shared" si="18"/>
        <v>2.0437745694216196E-3</v>
      </c>
      <c r="N87" s="20">
        <f t="shared" si="7"/>
        <v>0.80305484063717847</v>
      </c>
      <c r="O87" s="23" t="e">
        <f t="shared" si="19"/>
        <v>#DIV/0!</v>
      </c>
    </row>
    <row r="88" spans="1:15" x14ac:dyDescent="0.3">
      <c r="A88" s="13" t="s">
        <v>43</v>
      </c>
      <c r="B88" s="13">
        <f t="shared" si="6"/>
        <v>5.0900000000000001E-2</v>
      </c>
      <c r="C88" s="13">
        <f t="shared" si="8"/>
        <v>2.5450000000000004E-3</v>
      </c>
      <c r="D88" s="22">
        <f t="shared" si="9"/>
        <v>1.1559626262040081E-3</v>
      </c>
      <c r="E88" s="21">
        <f t="shared" si="10"/>
        <v>0.45420928338074967</v>
      </c>
      <c r="F88" s="22">
        <f t="shared" si="11"/>
        <v>8.6945356766707964E-4</v>
      </c>
      <c r="G88" s="20">
        <f t="shared" si="12"/>
        <v>0.34163205016388193</v>
      </c>
      <c r="H88" s="22">
        <f t="shared" si="13"/>
        <v>7.5918203998276348E-4</v>
      </c>
      <c r="I88" s="20">
        <f t="shared" si="14"/>
        <v>0.29830335559244142</v>
      </c>
      <c r="J88" s="22">
        <f t="shared" si="15"/>
        <v>4.9137975846370971E-4</v>
      </c>
      <c r="K88" s="20">
        <f t="shared" si="16"/>
        <v>0.19307652591894289</v>
      </c>
      <c r="L88" s="13" t="e">
        <f t="shared" si="17"/>
        <v>#DIV/0!</v>
      </c>
      <c r="M88" s="22">
        <f t="shared" si="18"/>
        <v>2.0536202415362909E-3</v>
      </c>
      <c r="N88" s="20">
        <f t="shared" si="7"/>
        <v>0.80692347408105713</v>
      </c>
      <c r="O88" s="23" t="e">
        <f t="shared" si="19"/>
        <v>#DIV/0!</v>
      </c>
    </row>
    <row r="89" spans="1:15" x14ac:dyDescent="0.3">
      <c r="A89" s="13" t="s">
        <v>38</v>
      </c>
      <c r="B89" s="13">
        <f t="shared" si="6"/>
        <v>5.0900000000000001E-2</v>
      </c>
      <c r="C89" s="13">
        <f t="shared" si="8"/>
        <v>2.5450000000000004E-3</v>
      </c>
      <c r="D89" s="22">
        <f t="shared" si="9"/>
        <v>7.2816817282154946E-4</v>
      </c>
      <c r="E89" s="21">
        <f t="shared" si="10"/>
        <v>0.28611716024422373</v>
      </c>
      <c r="F89" s="22">
        <f t="shared" si="11"/>
        <v>3.5969389392998387E-4</v>
      </c>
      <c r="G89" s="20">
        <f t="shared" si="12"/>
        <v>0.14133355360706634</v>
      </c>
      <c r="H89" s="22">
        <f t="shared" si="13"/>
        <v>4.4904336837062398E-4</v>
      </c>
      <c r="I89" s="20">
        <f t="shared" si="14"/>
        <v>0.17644140211026479</v>
      </c>
      <c r="J89" s="22">
        <f t="shared" si="15"/>
        <v>2.3834598511666269E-4</v>
      </c>
      <c r="K89" s="20">
        <f t="shared" si="16"/>
        <v>9.3652646411262336E-2</v>
      </c>
      <c r="L89" s="13" t="e">
        <f t="shared" si="17"/>
        <v>#DIV/0!</v>
      </c>
      <c r="M89" s="22">
        <f t="shared" si="18"/>
        <v>2.3066540148833376E-3</v>
      </c>
      <c r="N89" s="20">
        <f t="shared" si="7"/>
        <v>0.90634735358873764</v>
      </c>
      <c r="O89" s="23" t="e">
        <f t="shared" si="19"/>
        <v>#DIV/0!</v>
      </c>
    </row>
    <row r="90" spans="1:15" x14ac:dyDescent="0.3">
      <c r="A90" s="13" t="s">
        <v>44</v>
      </c>
      <c r="B90" s="13">
        <f t="shared" si="6"/>
        <v>5.0900000000000001E-2</v>
      </c>
      <c r="C90" s="13">
        <f t="shared" si="8"/>
        <v>2.5450000000000004E-3</v>
      </c>
      <c r="D90" s="22">
        <f t="shared" si="9"/>
        <v>1.0319071575591525E-3</v>
      </c>
      <c r="E90" s="21">
        <f t="shared" si="10"/>
        <v>0.40546450198787909</v>
      </c>
      <c r="F90" s="22">
        <f t="shared" si="11"/>
        <v>7.6508944325156603E-4</v>
      </c>
      <c r="G90" s="20">
        <f t="shared" si="12"/>
        <v>0.30062453565876851</v>
      </c>
      <c r="H90" s="22">
        <f t="shared" si="13"/>
        <v>4.7808810110890374E-4</v>
      </c>
      <c r="I90" s="20">
        <f t="shared" si="14"/>
        <v>0.18785387076970675</v>
      </c>
      <c r="J90" s="22">
        <f t="shared" si="15"/>
        <v>2.9692773419895564E-4</v>
      </c>
      <c r="K90" s="20">
        <f t="shared" si="16"/>
        <v>0.11667101540234012</v>
      </c>
      <c r="L90" s="13" t="e">
        <f t="shared" si="17"/>
        <v>#DIV/0!</v>
      </c>
      <c r="M90" s="22">
        <f t="shared" si="18"/>
        <v>2.2480722658010446E-3</v>
      </c>
      <c r="N90" s="20">
        <f t="shared" si="7"/>
        <v>0.88332898459765985</v>
      </c>
      <c r="O90" s="23" t="e">
        <f t="shared" si="19"/>
        <v>#DIV/0!</v>
      </c>
    </row>
    <row r="91" spans="1:15" x14ac:dyDescent="0.3">
      <c r="A91" s="13" t="s">
        <v>45</v>
      </c>
      <c r="B91" s="13">
        <f t="shared" si="6"/>
        <v>5.0900000000000001E-2</v>
      </c>
      <c r="C91" s="13">
        <f t="shared" si="8"/>
        <v>2.5450000000000004E-3</v>
      </c>
      <c r="D91" s="22">
        <f t="shared" si="9"/>
        <v>1.2396508391787125E-3</v>
      </c>
      <c r="E91" s="21">
        <f t="shared" si="10"/>
        <v>0.487092667653718</v>
      </c>
      <c r="F91" s="22">
        <f t="shared" si="11"/>
        <v>9.3985012328697784E-4</v>
      </c>
      <c r="G91" s="20">
        <f t="shared" si="12"/>
        <v>0.369292779287614</v>
      </c>
      <c r="H91" s="22">
        <f t="shared" si="13"/>
        <v>6.0854325662829567E-4</v>
      </c>
      <c r="I91" s="20">
        <f t="shared" si="14"/>
        <v>0.23911326390109847</v>
      </c>
      <c r="J91" s="22">
        <f t="shared" si="15"/>
        <v>2.7772867357534701E-4</v>
      </c>
      <c r="K91" s="20">
        <f t="shared" si="16"/>
        <v>0.10912718018677681</v>
      </c>
      <c r="L91" s="13" t="e">
        <f t="shared" si="17"/>
        <v>#DIV/0!</v>
      </c>
      <c r="M91" s="22">
        <f t="shared" si="18"/>
        <v>2.2672713264246533E-3</v>
      </c>
      <c r="N91" s="20">
        <f t="shared" si="7"/>
        <v>0.89087281981322319</v>
      </c>
      <c r="O91" s="23" t="e">
        <f t="shared" si="19"/>
        <v>#DIV/0!</v>
      </c>
    </row>
    <row r="93" spans="1:15" ht="15" thickBot="1" x14ac:dyDescent="0.35"/>
    <row r="94" spans="1:15" x14ac:dyDescent="0.3">
      <c r="A94" s="14" t="s">
        <v>102</v>
      </c>
      <c r="B94" s="15">
        <v>1.0249999999999999</v>
      </c>
      <c r="C94" s="16" t="s">
        <v>103</v>
      </c>
      <c r="F94" s="28"/>
      <c r="G94" s="28"/>
      <c r="N94" s="29"/>
    </row>
    <row r="95" spans="1:15" ht="15" thickBot="1" x14ac:dyDescent="0.35">
      <c r="A95" s="17" t="s">
        <v>102</v>
      </c>
      <c r="B95" s="18">
        <f>B94*1000000</f>
        <v>1024999.9999999999</v>
      </c>
      <c r="C95" s="19" t="s">
        <v>104</v>
      </c>
      <c r="G95" s="23"/>
      <c r="N95" s="30"/>
    </row>
    <row r="100" spans="1:24" ht="15" thickBot="1" x14ac:dyDescent="0.35"/>
    <row r="101" spans="1:24" ht="18.600000000000001" thickBot="1" x14ac:dyDescent="0.35">
      <c r="A101" s="41" t="s">
        <v>62</v>
      </c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3"/>
    </row>
    <row r="102" spans="1:24" ht="43.2" x14ac:dyDescent="0.3">
      <c r="A102" s="11" t="s">
        <v>94</v>
      </c>
      <c r="B102" s="11" t="s">
        <v>106</v>
      </c>
      <c r="C102" s="11" t="s">
        <v>95</v>
      </c>
      <c r="D102" s="11" t="s">
        <v>72</v>
      </c>
      <c r="E102" s="11" t="s">
        <v>116</v>
      </c>
      <c r="F102" s="11" t="s">
        <v>72</v>
      </c>
      <c r="G102" s="11" t="s">
        <v>96</v>
      </c>
      <c r="H102" s="11" t="s">
        <v>72</v>
      </c>
      <c r="I102" s="11" t="s">
        <v>117</v>
      </c>
      <c r="J102" s="11" t="s">
        <v>72</v>
      </c>
      <c r="K102" s="11" t="s">
        <v>97</v>
      </c>
      <c r="L102" s="11" t="s">
        <v>72</v>
      </c>
      <c r="M102" s="11" t="s">
        <v>118</v>
      </c>
      <c r="N102" s="11" t="s">
        <v>72</v>
      </c>
      <c r="O102" s="11" t="s">
        <v>98</v>
      </c>
      <c r="P102" s="11" t="s">
        <v>72</v>
      </c>
      <c r="Q102" s="11" t="s">
        <v>119</v>
      </c>
      <c r="R102" s="11" t="s">
        <v>72</v>
      </c>
      <c r="S102" s="11" t="s">
        <v>111</v>
      </c>
      <c r="T102" s="11" t="s">
        <v>72</v>
      </c>
      <c r="U102" s="11" t="s">
        <v>112</v>
      </c>
      <c r="V102" s="11" t="s">
        <v>72</v>
      </c>
      <c r="W102" s="11" t="s">
        <v>113</v>
      </c>
      <c r="X102" s="11" t="s">
        <v>72</v>
      </c>
    </row>
    <row r="103" spans="1:24" x14ac:dyDescent="0.3">
      <c r="A103" s="9" t="s">
        <v>63</v>
      </c>
      <c r="B103" s="26">
        <f>AVERAGE(C71:C73)</f>
        <v>2.5450000000000004E-3</v>
      </c>
      <c r="C103" s="26">
        <f>AVERAGE(D71:D73)</f>
        <v>1.8607486550792144E-3</v>
      </c>
      <c r="D103" s="26">
        <f>_xlfn.STDEV.S(D71:D73)</f>
        <v>3.3854667244023702E-4</v>
      </c>
      <c r="E103" s="25">
        <f>AVERAGE(E71:E73)</f>
        <v>0.73113896073839435</v>
      </c>
      <c r="F103" s="25">
        <f>_xlfn.STDEV.S(E71:E73)</f>
        <v>0.13302423278594736</v>
      </c>
      <c r="G103" s="26">
        <f>AVERAGE(F71:F73)</f>
        <v>1.1587522333031651E-3</v>
      </c>
      <c r="H103" s="26">
        <f>_xlfn.STDEV.S(F71:F73)</f>
        <v>1.5937398210690671E-4</v>
      </c>
      <c r="I103" s="25">
        <f>AVERAGE(G71:G73)</f>
        <v>0.45530539618984872</v>
      </c>
      <c r="J103" s="25">
        <f>_xlfn.STDEV.S(G71:G73)</f>
        <v>6.2622389825897143E-2</v>
      </c>
      <c r="K103" s="26">
        <f>AVERAGE(H71:H73)</f>
        <v>9.6848461968714625E-4</v>
      </c>
      <c r="L103" s="26">
        <f>_xlfn.STDEV.S(H71:H73)</f>
        <v>2.3583189399630424E-4</v>
      </c>
      <c r="M103" s="25">
        <f>AVERAGE(I71:I73)</f>
        <v>0.38054405488689436</v>
      </c>
      <c r="N103" s="25">
        <f>_xlfn.STDEV.S(I71:I73)</f>
        <v>9.2664791354146986E-2</v>
      </c>
      <c r="O103" s="26">
        <f>AVERAGE(J71:J73)</f>
        <v>1.0783459110333511E-3</v>
      </c>
      <c r="P103" s="26">
        <f>_xlfn.STDEV.S(J71:J73)</f>
        <v>1.1554446108462018E-4</v>
      </c>
      <c r="Q103" s="25">
        <f>AVERAGE(K71:K73)</f>
        <v>0.42371155639817326</v>
      </c>
      <c r="R103" s="25">
        <f>_xlfn.STDEV.S(K71:K73)</f>
        <v>4.5400574100047213E-2</v>
      </c>
      <c r="S103" s="26">
        <f>AVERAGE(M71:M73)</f>
        <v>1.4666540889666493E-3</v>
      </c>
      <c r="T103" s="26">
        <f>_xlfn.STDEV.S(M71:M73)</f>
        <v>1.1554446108462018E-4</v>
      </c>
      <c r="U103" s="25">
        <f>AVERAGE(N71:N73)</f>
        <v>0.57628844360182674</v>
      </c>
      <c r="V103" s="25">
        <f>_xlfn.STDEV.S(N71:N73)</f>
        <v>4.5400574100047227E-2</v>
      </c>
      <c r="W103" s="25" t="e">
        <f>AVERAGE(O71:O73)</f>
        <v>#DIV/0!</v>
      </c>
      <c r="X103" s="25" t="e">
        <f>_xlfn.STDEV.S(O71:O73)</f>
        <v>#DIV/0!</v>
      </c>
    </row>
    <row r="104" spans="1:24" x14ac:dyDescent="0.3">
      <c r="A104" s="9" t="s">
        <v>64</v>
      </c>
      <c r="B104" s="26">
        <f>AVERAGE(C74:C76)</f>
        <v>2.5450000000000004E-3</v>
      </c>
      <c r="C104" s="26">
        <f>AVERAGE(D74:D76)</f>
        <v>1.5821161342340221E-3</v>
      </c>
      <c r="D104" s="26">
        <f>_xlfn.STDEV.S(D74:D76)</f>
        <v>1.6427993937609777E-4</v>
      </c>
      <c r="E104" s="25">
        <f>AVERAGE(E74:E76)</f>
        <v>0.62165663427662932</v>
      </c>
      <c r="F104" s="25">
        <f>_xlfn.STDEV.S(E74:E76)</f>
        <v>6.4550074411040367E-2</v>
      </c>
      <c r="G104" s="26">
        <f>AVERAGE(F74:F76)</f>
        <v>1.240471311854935E-3</v>
      </c>
      <c r="H104" s="26">
        <f>_xlfn.STDEV.S(F74:F76)</f>
        <v>1.1011464720304236E-5</v>
      </c>
      <c r="I104" s="25">
        <f>AVERAGE(G74:G76)</f>
        <v>0.48741505377404115</v>
      </c>
      <c r="J104" s="25">
        <f>_xlfn.STDEV.S(G74:G76)</f>
        <v>4.3267051946185532E-3</v>
      </c>
      <c r="K104" s="26">
        <f>AVERAGE(H74:H76)</f>
        <v>1.2156930370330128E-3</v>
      </c>
      <c r="L104" s="26">
        <f>_xlfn.STDEV.S(H74:H76)</f>
        <v>1.2675450483289432E-4</v>
      </c>
      <c r="M104" s="25">
        <f>AVERAGE(I74:I76)</f>
        <v>0.47767899294028004</v>
      </c>
      <c r="N104" s="25">
        <f>_xlfn.STDEV.S(I74:I76)</f>
        <v>4.980530641764018E-2</v>
      </c>
      <c r="O104" s="26">
        <f>AVERAGE(J74:J76)</f>
        <v>1.1239641918313269E-3</v>
      </c>
      <c r="P104" s="26">
        <f>_xlfn.STDEV.S(J74:J76)</f>
        <v>7.3572933639456958E-5</v>
      </c>
      <c r="Q104" s="25">
        <f>AVERAGE(K74:K76)</f>
        <v>0.44163622468814423</v>
      </c>
      <c r="R104" s="25">
        <f>_xlfn.STDEV.S(K74:K76)</f>
        <v>2.8908814789570494E-2</v>
      </c>
      <c r="S104" s="26">
        <f>AVERAGE(M74:M76)</f>
        <v>1.4210358081686734E-3</v>
      </c>
      <c r="T104" s="26">
        <f>_xlfn.STDEV.S(M74:M76)</f>
        <v>7.3572933639456958E-5</v>
      </c>
      <c r="U104" s="25">
        <f>AVERAGE(N74:N76)</f>
        <v>0.55836377531185577</v>
      </c>
      <c r="V104" s="25">
        <f>_xlfn.STDEV.S(N74:N76)</f>
        <v>2.8908814789570501E-2</v>
      </c>
      <c r="W104" s="25" t="e">
        <f>AVERAGE(O74:O76)</f>
        <v>#DIV/0!</v>
      </c>
      <c r="X104" s="25" t="e">
        <f>_xlfn.STDEV.S(O74:O76)</f>
        <v>#DIV/0!</v>
      </c>
    </row>
    <row r="105" spans="1:24" x14ac:dyDescent="0.3">
      <c r="A105" s="9" t="s">
        <v>65</v>
      </c>
      <c r="B105" s="26">
        <f>AVERAGE(C77:C79)</f>
        <v>2.5450000000000004E-3</v>
      </c>
      <c r="C105" s="26">
        <f>AVERAGE(D77:D79)</f>
        <v>7.9068819074971095E-4</v>
      </c>
      <c r="D105" s="26">
        <f>_xlfn.STDEV.S(D77:D79)</f>
        <v>9.2816023627145393E-5</v>
      </c>
      <c r="E105" s="25">
        <f>AVERAGE(E77:E79)</f>
        <v>0.31068298261285299</v>
      </c>
      <c r="F105" s="25">
        <f>_xlfn.STDEV.S(E77:E79)</f>
        <v>3.6469950344654348E-2</v>
      </c>
      <c r="G105" s="26">
        <f>AVERAGE(F77:F79)</f>
        <v>4.6783219265612131E-4</v>
      </c>
      <c r="H105" s="26">
        <f>_xlfn.STDEV.S(F77:F79)</f>
        <v>2.8097346450667722E-4</v>
      </c>
      <c r="I105" s="25">
        <f>AVERAGE(G77:G79)</f>
        <v>0.18382404426566654</v>
      </c>
      <c r="J105" s="25">
        <f>_xlfn.STDEV.S(G77:G79)</f>
        <v>0.11040214715390061</v>
      </c>
      <c r="K105" s="26">
        <f>AVERAGE(H77:H79)</f>
        <v>2.9225103994448689E-4</v>
      </c>
      <c r="L105" s="26">
        <f>_xlfn.STDEV.S(H77:H79)</f>
        <v>1.789047960861402E-4</v>
      </c>
      <c r="M105" s="25">
        <f>AVERAGE(I77:I79)</f>
        <v>0.1148334145164978</v>
      </c>
      <c r="N105" s="25">
        <f>_xlfn.STDEV.S(I77:I79)</f>
        <v>7.029657999455409E-2</v>
      </c>
      <c r="O105" s="26">
        <f>AVERAGE(J77:J79)</f>
        <v>1.0534736430098069E-4</v>
      </c>
      <c r="P105" s="26">
        <f>_xlfn.STDEV.S(J77:J79)</f>
        <v>1.1676395688696689E-5</v>
      </c>
      <c r="Q105" s="25">
        <f>AVERAGE(K77:K79)</f>
        <v>4.1393856306868641E-2</v>
      </c>
      <c r="R105" s="25">
        <f>_xlfn.STDEV.S(K77:K79)</f>
        <v>4.5879747303326857E-3</v>
      </c>
      <c r="S105" s="26">
        <f>AVERAGE(M77:M79)</f>
        <v>2.4396526356990195E-3</v>
      </c>
      <c r="T105" s="26">
        <f>_xlfn.STDEV.S(M77:M79)</f>
        <v>1.1676395688696614E-5</v>
      </c>
      <c r="U105" s="25">
        <f>AVERAGE(N77:N79)</f>
        <v>0.95860614369313135</v>
      </c>
      <c r="V105" s="25">
        <f>_xlfn.STDEV.S(N77:N79)</f>
        <v>4.58797473033271E-3</v>
      </c>
      <c r="W105" s="25" t="e">
        <f>AVERAGE(O77:O79)</f>
        <v>#DIV/0!</v>
      </c>
      <c r="X105" s="25" t="e">
        <f>_xlfn.STDEV.S(O77:O79)</f>
        <v>#DIV/0!</v>
      </c>
    </row>
    <row r="106" spans="1:24" x14ac:dyDescent="0.3">
      <c r="A106" s="9" t="s">
        <v>66</v>
      </c>
      <c r="B106" s="26">
        <f>AVERAGE(C80:C82)</f>
        <v>2.5450000000000004E-3</v>
      </c>
      <c r="C106" s="26">
        <f>AVERAGE(D80:D82)</f>
        <v>6.9321603681446714E-4</v>
      </c>
      <c r="D106" s="26">
        <f>_xlfn.STDEV.S(D80:D82)</f>
        <v>2.9283054875380878E-4</v>
      </c>
      <c r="E106" s="25">
        <f>AVERAGE(E80:E82)</f>
        <v>0.27238351151845458</v>
      </c>
      <c r="F106" s="25">
        <f>_xlfn.STDEV.S(E80:E82)</f>
        <v>0.11506111935316655</v>
      </c>
      <c r="G106" s="26">
        <f>AVERAGE(F80:F82)</f>
        <v>7.5450534572829456E-4</v>
      </c>
      <c r="H106" s="26">
        <f>_xlfn.STDEV.S(F80:F82)</f>
        <v>3.1411484323699281E-4</v>
      </c>
      <c r="I106" s="25">
        <f>AVERAGE(G80:G82)</f>
        <v>0.29646575470659903</v>
      </c>
      <c r="J106" s="25">
        <f>_xlfn.STDEV.S(G80:G82)</f>
        <v>0.12342429989665722</v>
      </c>
      <c r="K106" s="26">
        <f>AVERAGE(H80:H82)</f>
        <v>4.2787517332408125E-4</v>
      </c>
      <c r="L106" s="26">
        <f>_xlfn.STDEV.S(H80:H82)</f>
        <v>4.3178071300264316E-5</v>
      </c>
      <c r="M106" s="25">
        <f>AVERAGE(I80:I82)</f>
        <v>0.16812384020592577</v>
      </c>
      <c r="N106" s="25">
        <f>_xlfn.STDEV.S(I80:I82)</f>
        <v>1.6965843339985982E-2</v>
      </c>
      <c r="O106" s="26">
        <f>AVERAGE(J80:J82)</f>
        <v>2.815028478859709E-4</v>
      </c>
      <c r="P106" s="26">
        <f>_xlfn.STDEV.S(J80:J82)</f>
        <v>6.23090524691513E-5</v>
      </c>
      <c r="Q106" s="25">
        <f>AVERAGE(K80:K82)</f>
        <v>0.11061015634026361</v>
      </c>
      <c r="R106" s="25">
        <f>_xlfn.STDEV.S(K80:K82)</f>
        <v>2.4482928278644938E-2</v>
      </c>
      <c r="S106" s="26">
        <f>AVERAGE(M80:M82)</f>
        <v>2.2634971521140294E-3</v>
      </c>
      <c r="T106" s="26">
        <f>_xlfn.STDEV.S(M80:M82)</f>
        <v>6.2309052469151219E-5</v>
      </c>
      <c r="U106" s="25">
        <f>AVERAGE(N80:N82)</f>
        <v>0.88938984365973639</v>
      </c>
      <c r="V106" s="25">
        <f>_xlfn.STDEV.S(N80:N82)</f>
        <v>2.4482928278644931E-2</v>
      </c>
      <c r="W106" s="25" t="e">
        <f>AVERAGE(O80:O82)</f>
        <v>#DIV/0!</v>
      </c>
      <c r="X106" s="25" t="e">
        <f>_xlfn.STDEV.S(O80:O82)</f>
        <v>#DIV/0!</v>
      </c>
    </row>
    <row r="107" spans="1:24" x14ac:dyDescent="0.3">
      <c r="A107" s="9" t="s">
        <v>67</v>
      </c>
      <c r="B107" s="26">
        <f>AVERAGE(C83:C85)</f>
        <v>2.5450000000000004E-3</v>
      </c>
      <c r="C107" s="26">
        <f>AVERAGE(D83:D85)</f>
        <v>7.5475148753116139E-4</v>
      </c>
      <c r="D107" s="26">
        <f>_xlfn.STDEV.S(D83:D85)</f>
        <v>2.3210532502675763E-5</v>
      </c>
      <c r="E107" s="25">
        <f>AVERAGE(E83:E85)</f>
        <v>0.29656247054269597</v>
      </c>
      <c r="F107" s="25">
        <f>_xlfn.STDEV.S(E83:E85)</f>
        <v>9.1200520639197306E-3</v>
      </c>
      <c r="G107" s="26">
        <f>AVERAGE(F83:F85)</f>
        <v>6.0641002767011689E-4</v>
      </c>
      <c r="H107" s="26">
        <f>_xlfn.STDEV.S(F83:F85)</f>
        <v>2.0442122419619647E-5</v>
      </c>
      <c r="I107" s="25">
        <f>AVERAGE(G83:G85)</f>
        <v>0.23827505998825807</v>
      </c>
      <c r="J107" s="25">
        <f>_xlfn.STDEV.S(G83:G85)</f>
        <v>8.0322681413043922E-3</v>
      </c>
      <c r="K107" s="26">
        <f>AVERAGE(H83:H85)</f>
        <v>3.368027062633735E-4</v>
      </c>
      <c r="L107" s="26">
        <f>_xlfn.STDEV.S(H83:H85)</f>
        <v>8.3160966973715397E-5</v>
      </c>
      <c r="M107" s="25">
        <f>AVERAGE(I83:I85)</f>
        <v>0.13233898085004853</v>
      </c>
      <c r="N107" s="25">
        <f>_xlfn.STDEV.S(I83:I85)</f>
        <v>3.2676214920909809E-2</v>
      </c>
      <c r="O107" s="26">
        <f>AVERAGE(J83:J85)</f>
        <v>2.2932078567821417E-4</v>
      </c>
      <c r="P107" s="26">
        <f>_xlfn.STDEV.S(J83:J85)</f>
        <v>5.4341807526116959E-5</v>
      </c>
      <c r="Q107" s="25">
        <f>AVERAGE(K83:K85)</f>
        <v>9.0106399087706943E-2</v>
      </c>
      <c r="R107" s="25">
        <f>_xlfn.STDEV.S(K83:K85)</f>
        <v>2.1352380167432926E-2</v>
      </c>
      <c r="S107" s="26">
        <f>AVERAGE(M83:M85)</f>
        <v>2.3156792143217862E-3</v>
      </c>
      <c r="T107" s="26">
        <f>_xlfn.STDEV.S(M83:M85)</f>
        <v>5.4341807526117088E-5</v>
      </c>
      <c r="U107" s="25">
        <f>AVERAGE(N83:N85)</f>
        <v>0.9098936009122931</v>
      </c>
      <c r="V107" s="25">
        <f>_xlfn.STDEV.S(N83:N85)</f>
        <v>2.1352380167433016E-2</v>
      </c>
      <c r="W107" s="25" t="e">
        <f>AVERAGE(O83:O85)</f>
        <v>#DIV/0!</v>
      </c>
      <c r="X107" s="25" t="e">
        <f>_xlfn.STDEV.S(O83:O85)</f>
        <v>#DIV/0!</v>
      </c>
    </row>
    <row r="108" spans="1:24" x14ac:dyDescent="0.3">
      <c r="A108" s="9" t="s">
        <v>68</v>
      </c>
      <c r="B108" s="26">
        <f>AVERAGE(C86:C88)</f>
        <v>2.5450000000000004E-3</v>
      </c>
      <c r="C108" s="26">
        <f>AVERAGE(D86:D88)</f>
        <v>1.0675156717072129E-3</v>
      </c>
      <c r="D108" s="26">
        <f>_xlfn.STDEV.S(D86:D88)</f>
        <v>8.6698303755725138E-5</v>
      </c>
      <c r="E108" s="25">
        <f>AVERAGE(E86:E88)</f>
        <v>0.41945605960990678</v>
      </c>
      <c r="F108" s="25">
        <f>_xlfn.STDEV.S(E86:E88)</f>
        <v>3.4066131141738745E-2</v>
      </c>
      <c r="G108" s="26">
        <f>AVERAGE(F86:F88)</f>
        <v>6.7672453602239311E-4</v>
      </c>
      <c r="H108" s="26">
        <f>_xlfn.STDEV.S(F86:F88)</f>
        <v>2.6581685109764792E-4</v>
      </c>
      <c r="I108" s="25">
        <f>AVERAGE(G86:G88)</f>
        <v>0.2659035504999579</v>
      </c>
      <c r="J108" s="25">
        <f>_xlfn.STDEV.S(G86:G88)</f>
        <v>0.10444669984190491</v>
      </c>
      <c r="K108" s="26">
        <f>AVERAGE(H86:H88)</f>
        <v>6.0230766428900396E-4</v>
      </c>
      <c r="L108" s="26">
        <f>_xlfn.STDEV.S(H86:H88)</f>
        <v>2.327920286723036E-4</v>
      </c>
      <c r="M108" s="25">
        <f>AVERAGE(I86:I88)</f>
        <v>0.23666312938664205</v>
      </c>
      <c r="N108" s="25">
        <f>_xlfn.STDEV.S(I86:I88)</f>
        <v>9.147034525434318E-2</v>
      </c>
      <c r="O108" s="26">
        <f>AVERAGE(J86:J88)</f>
        <v>4.6988337434667777E-4</v>
      </c>
      <c r="P108" s="26">
        <f>_xlfn.STDEV.S(J86:J88)</f>
        <v>4.6023471171919585E-5</v>
      </c>
      <c r="Q108" s="25">
        <f>AVERAGE(K86:K88)</f>
        <v>0.18463000956647457</v>
      </c>
      <c r="R108" s="25">
        <f>_xlfn.STDEV.S(K86:K88)</f>
        <v>1.8083878653013582E-2</v>
      </c>
      <c r="S108" s="26">
        <f>AVERAGE(M86:M88)</f>
        <v>2.0751166256533227E-3</v>
      </c>
      <c r="T108" s="26">
        <f>_xlfn.STDEV.S(M86:M88)</f>
        <v>4.6023471171919565E-5</v>
      </c>
      <c r="U108" s="25">
        <f>AVERAGE(N86:N88)</f>
        <v>0.81536999043352543</v>
      </c>
      <c r="V108" s="25">
        <f>_xlfn.STDEV.S(N86:N88)</f>
        <v>1.8083878653013571E-2</v>
      </c>
      <c r="W108" s="25" t="e">
        <f>AVERAGE(O86:O88)</f>
        <v>#DIV/0!</v>
      </c>
      <c r="X108" s="25" t="e">
        <f>_xlfn.STDEV.S(O86:O88)</f>
        <v>#DIV/0!</v>
      </c>
    </row>
    <row r="109" spans="1:24" x14ac:dyDescent="0.3">
      <c r="A109" s="9" t="s">
        <v>69</v>
      </c>
      <c r="B109" s="26">
        <f>AVERAGE(C89:C91)</f>
        <v>2.5450000000000004E-3</v>
      </c>
      <c r="C109" s="26">
        <f>AVERAGE(D89:D91)</f>
        <v>9.9990872318647152E-4</v>
      </c>
      <c r="D109" s="26">
        <f>_xlfn.STDEV.S(D89:D91)</f>
        <v>2.5723832208223823E-4</v>
      </c>
      <c r="E109" s="25">
        <f>AVERAGE(E89:E91)</f>
        <v>0.39289144329527365</v>
      </c>
      <c r="F109" s="25">
        <f>_xlfn.STDEV.S(E89:E91)</f>
        <v>0.10107596152543732</v>
      </c>
      <c r="G109" s="26">
        <f>AVERAGE(F89:F91)</f>
        <v>6.8821115348950918E-4</v>
      </c>
      <c r="H109" s="26">
        <f>_xlfn.STDEV.S(F89:F91)</f>
        <v>2.9762059100973731E-4</v>
      </c>
      <c r="I109" s="25">
        <f>AVERAGE(G89:G91)</f>
        <v>0.27041695618448297</v>
      </c>
      <c r="J109" s="25">
        <f>_xlfn.STDEV.S(G89:G91)</f>
        <v>0.11694325776414034</v>
      </c>
      <c r="K109" s="26">
        <f>AVERAGE(H89:H91)</f>
        <v>5.1189157536927446E-4</v>
      </c>
      <c r="L109" s="26">
        <f>_xlfn.STDEV.S(H89:H91)</f>
        <v>8.4953279763680102E-5</v>
      </c>
      <c r="M109" s="25">
        <f>AVERAGE(I89:I91)</f>
        <v>0.20113617892702332</v>
      </c>
      <c r="N109" s="25">
        <f>_xlfn.STDEV.S(I89:I91)</f>
        <v>3.3380463561367528E-2</v>
      </c>
      <c r="O109" s="26">
        <f>AVERAGE(J89:J91)</f>
        <v>2.7100079763032179E-4</v>
      </c>
      <c r="P109" s="26">
        <f>_xlfn.STDEV.S(J89:J91)</f>
        <v>2.9864754601937042E-5</v>
      </c>
      <c r="Q109" s="25">
        <f>AVERAGE(K89:K91)</f>
        <v>0.10648361400012642</v>
      </c>
      <c r="R109" s="25">
        <f>_xlfn.STDEV.S(K89:K91)</f>
        <v>1.1734677643197267E-2</v>
      </c>
      <c r="S109" s="26">
        <f>AVERAGE(M89:M91)</f>
        <v>2.2739992023696784E-3</v>
      </c>
      <c r="T109" s="26">
        <f>_xlfn.STDEV.S(M89:M91)</f>
        <v>2.9864754601937052E-5</v>
      </c>
      <c r="U109" s="25">
        <f>AVERAGE(N89:N91)</f>
        <v>0.89351638599987349</v>
      </c>
      <c r="V109" s="25">
        <f>_xlfn.STDEV.S(N89:N91)</f>
        <v>1.1734677643197265E-2</v>
      </c>
      <c r="W109" s="25" t="e">
        <f>AVERAGE(O89:O91)</f>
        <v>#DIV/0!</v>
      </c>
      <c r="X109" s="25" t="e">
        <f>_xlfn.STDEV.S(O89:O91)</f>
        <v>#DIV/0!</v>
      </c>
    </row>
  </sheetData>
  <mergeCells count="5">
    <mergeCell ref="A101:X101"/>
    <mergeCell ref="A29:I29"/>
    <mergeCell ref="A1:L1"/>
    <mergeCell ref="A69:O69"/>
    <mergeCell ref="A43:O43"/>
  </mergeCells>
  <phoneticPr fontId="2" type="noConversion"/>
  <conditionalFormatting sqref="L3:L23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B4F03-433B-4AC7-BF5C-B0EEF677BC57}">
  <dimension ref="A1:P57"/>
  <sheetViews>
    <sheetView workbookViewId="0">
      <selection activeCell="K15" sqref="K15"/>
    </sheetView>
  </sheetViews>
  <sheetFormatPr defaultRowHeight="14.4" x14ac:dyDescent="0.3"/>
  <cols>
    <col min="4" max="4" width="9.109375" customWidth="1"/>
  </cols>
  <sheetData>
    <row r="1" spans="1:12" ht="15" thickBot="1" x14ac:dyDescent="0.35">
      <c r="A1" t="s">
        <v>122</v>
      </c>
    </row>
    <row r="2" spans="1:12" ht="15" thickBot="1" x14ac:dyDescent="0.35">
      <c r="A2" s="38" t="s">
        <v>82</v>
      </c>
      <c r="B2" s="39"/>
      <c r="C2" s="40"/>
    </row>
    <row r="3" spans="1:12" ht="15" thickBot="1" x14ac:dyDescent="0.35">
      <c r="A3" s="1" t="s">
        <v>52</v>
      </c>
      <c r="B3" s="5" t="s">
        <v>54</v>
      </c>
      <c r="C3" s="5" t="s">
        <v>53</v>
      </c>
    </row>
    <row r="4" spans="1:12" x14ac:dyDescent="0.3">
      <c r="B4">
        <v>25</v>
      </c>
      <c r="C4">
        <v>499.7</v>
      </c>
      <c r="D4" s="34"/>
      <c r="E4" s="16">
        <f>STEYX(C4:C6,B4:B6)</f>
        <v>112.08652634351343</v>
      </c>
    </row>
    <row r="5" spans="1:12" x14ac:dyDescent="0.3">
      <c r="B5">
        <v>12.5</v>
      </c>
      <c r="C5">
        <v>55.5</v>
      </c>
      <c r="D5" s="36" t="s">
        <v>150</v>
      </c>
      <c r="E5" s="35">
        <f>3.3*B10/E4</f>
        <v>0.65502019886406293</v>
      </c>
    </row>
    <row r="6" spans="1:12" ht="15" thickBot="1" x14ac:dyDescent="0.35">
      <c r="B6">
        <v>5</v>
      </c>
      <c r="C6">
        <v>10.9</v>
      </c>
      <c r="D6" s="37" t="s">
        <v>151</v>
      </c>
      <c r="E6" s="19">
        <f>10*B10/E4</f>
        <v>1.9849096935274637</v>
      </c>
    </row>
    <row r="7" spans="1:12" x14ac:dyDescent="0.3">
      <c r="B7">
        <v>2.5</v>
      </c>
      <c r="C7">
        <v>6.7</v>
      </c>
    </row>
    <row r="10" spans="1:12" x14ac:dyDescent="0.3">
      <c r="A10" s="1" t="s">
        <v>55</v>
      </c>
      <c r="B10">
        <f>SLOPE(C4:C7,B4:B7)</f>
        <v>22.248163265306122</v>
      </c>
    </row>
    <row r="11" spans="1:12" x14ac:dyDescent="0.3">
      <c r="A11" s="1" t="s">
        <v>56</v>
      </c>
      <c r="B11">
        <f>INTERCEPT(C4:C7,B4:B7)</f>
        <v>-107.09183673469386</v>
      </c>
    </row>
    <row r="12" spans="1:12" ht="15" thickBot="1" x14ac:dyDescent="0.35"/>
    <row r="13" spans="1:12" ht="16.2" thickBot="1" x14ac:dyDescent="0.35">
      <c r="A13" s="59" t="s">
        <v>77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1"/>
    </row>
    <row r="14" spans="1:12" x14ac:dyDescent="0.3">
      <c r="A14" s="1" t="s">
        <v>0</v>
      </c>
      <c r="B14" s="1" t="s">
        <v>1</v>
      </c>
      <c r="C14" s="1" t="s">
        <v>2</v>
      </c>
      <c r="D14" s="1" t="s">
        <v>51</v>
      </c>
      <c r="E14" s="1" t="s">
        <v>57</v>
      </c>
      <c r="F14" s="1" t="s">
        <v>101</v>
      </c>
      <c r="G14" s="1" t="s">
        <v>58</v>
      </c>
      <c r="H14" s="1" t="s">
        <v>101</v>
      </c>
      <c r="I14" s="1"/>
      <c r="J14" s="1"/>
      <c r="K14" s="1"/>
      <c r="L14" s="1"/>
    </row>
    <row r="15" spans="1:12" x14ac:dyDescent="0.3">
      <c r="A15" t="s">
        <v>30</v>
      </c>
      <c r="B15">
        <v>34.54</v>
      </c>
      <c r="C15">
        <v>5</v>
      </c>
      <c r="D15">
        <v>0.05</v>
      </c>
      <c r="E15">
        <v>52.5</v>
      </c>
      <c r="F15" s="2">
        <f>((E15-B11)/B10)</f>
        <v>7.1732589711601955</v>
      </c>
      <c r="G15">
        <v>26.9</v>
      </c>
      <c r="H15" s="2">
        <f>((G15-B11)/B10)</f>
        <v>6.0226021868349591</v>
      </c>
      <c r="J15" s="2"/>
      <c r="L15" s="2"/>
    </row>
    <row r="16" spans="1:12" x14ac:dyDescent="0.3">
      <c r="A16" t="s">
        <v>33</v>
      </c>
      <c r="B16">
        <v>34.81</v>
      </c>
      <c r="C16">
        <v>5.03</v>
      </c>
      <c r="D16">
        <v>0.05</v>
      </c>
      <c r="E16">
        <v>42.2</v>
      </c>
      <c r="F16" s="2">
        <f>((E16-'Calibration SeaWater'!$B$10)/'Calibration SeaWater'!$B$9)</f>
        <v>2.1676622640600858</v>
      </c>
      <c r="G16">
        <v>35.200000000000003</v>
      </c>
      <c r="H16" s="2">
        <f>((G16-'Calibration SeaWater'!$B$10)/'Calibration SeaWater'!$B$9)</f>
        <v>1.8230637400465977</v>
      </c>
      <c r="J16" s="2"/>
      <c r="L16" s="2"/>
    </row>
    <row r="17" spans="1:16" x14ac:dyDescent="0.3">
      <c r="F17" s="2"/>
      <c r="H17" s="2"/>
      <c r="J17" s="2"/>
      <c r="L17" s="2"/>
    </row>
    <row r="18" spans="1:16" ht="15" thickBot="1" x14ac:dyDescent="0.35"/>
    <row r="19" spans="1:16" ht="15" thickBot="1" x14ac:dyDescent="0.35">
      <c r="A19" s="50" t="s">
        <v>78</v>
      </c>
      <c r="B19" s="51"/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2"/>
    </row>
    <row r="20" spans="1:16" ht="72" x14ac:dyDescent="0.3">
      <c r="A20" s="11" t="s">
        <v>0</v>
      </c>
      <c r="B20" s="11" t="s">
        <v>80</v>
      </c>
      <c r="C20" s="11" t="s">
        <v>87</v>
      </c>
      <c r="D20" s="11" t="s">
        <v>85</v>
      </c>
      <c r="E20" s="11" t="s">
        <v>86</v>
      </c>
      <c r="F20" s="11" t="s">
        <v>79</v>
      </c>
      <c r="G20" s="11" t="s">
        <v>81</v>
      </c>
      <c r="H20" s="11" t="s">
        <v>88</v>
      </c>
      <c r="I20" s="11" t="s">
        <v>93</v>
      </c>
      <c r="J20" s="11" t="s">
        <v>89</v>
      </c>
      <c r="K20" s="11" t="s">
        <v>91</v>
      </c>
      <c r="L20" s="11" t="s">
        <v>53</v>
      </c>
      <c r="M20" s="11" t="s">
        <v>84</v>
      </c>
      <c r="N20" s="11" t="s">
        <v>90</v>
      </c>
      <c r="O20" s="11" t="s">
        <v>114</v>
      </c>
    </row>
    <row r="21" spans="1:16" x14ac:dyDescent="0.3">
      <c r="A21" s="9" t="s">
        <v>24</v>
      </c>
      <c r="B21" s="9">
        <v>43.56</v>
      </c>
      <c r="C21" s="9" t="e">
        <f>B21-#REF!</f>
        <v>#REF!</v>
      </c>
      <c r="D21" s="9">
        <v>1.1000000000000001</v>
      </c>
      <c r="E21" s="9">
        <v>7.18</v>
      </c>
      <c r="F21" s="9">
        <f>E21-D21</f>
        <v>6.08</v>
      </c>
      <c r="G21" s="9">
        <f>2.24-D21</f>
        <v>1.1400000000000001</v>
      </c>
      <c r="H21" s="9">
        <f>F21-G21</f>
        <v>4.9399999999999995</v>
      </c>
      <c r="I21">
        <v>34.53</v>
      </c>
      <c r="J21" s="9">
        <v>0.87</v>
      </c>
      <c r="K21" s="9">
        <v>0.15</v>
      </c>
      <c r="L21" s="9">
        <v>9.1999999999999993</v>
      </c>
      <c r="M21" s="9">
        <f>(L21-$B$11)/$B$10</f>
        <v>5.227030894547589</v>
      </c>
      <c r="N21" s="9">
        <f>((M21*K21)/J21)*1000</f>
        <v>901.21222319786011</v>
      </c>
      <c r="O21">
        <f>N21/1000</f>
        <v>0.9012122231978601</v>
      </c>
    </row>
    <row r="22" spans="1:16" x14ac:dyDescent="0.3">
      <c r="A22" s="9" t="s">
        <v>25</v>
      </c>
      <c r="B22" s="9">
        <v>46.76</v>
      </c>
      <c r="C22" s="9" t="e">
        <f>B22-#REF!</f>
        <v>#REF!</v>
      </c>
      <c r="D22" s="9">
        <v>1.56</v>
      </c>
      <c r="E22" s="9">
        <v>13.12</v>
      </c>
      <c r="F22" s="9">
        <f>E22-D22</f>
        <v>11.559999999999999</v>
      </c>
      <c r="G22" s="9">
        <f>2.8-D22</f>
        <v>1.2399999999999998</v>
      </c>
      <c r="H22" s="9">
        <f>F22-G22</f>
        <v>10.319999999999999</v>
      </c>
      <c r="I22">
        <v>35.1</v>
      </c>
      <c r="J22" s="9">
        <v>1.02</v>
      </c>
      <c r="K22" s="9">
        <v>0.15</v>
      </c>
      <c r="L22" s="9">
        <v>11.2</v>
      </c>
      <c r="M22" s="9">
        <f>(L22-$B$11)/$B$10</f>
        <v>5.316925955822998</v>
      </c>
      <c r="N22" s="9">
        <f>((M22*K22)/J22)*1000</f>
        <v>781.90087585632318</v>
      </c>
      <c r="O22">
        <f>N22/1000</f>
        <v>0.78190087585632317</v>
      </c>
    </row>
    <row r="23" spans="1:16" x14ac:dyDescent="0.3">
      <c r="A23" s="9" t="s">
        <v>4</v>
      </c>
      <c r="B23" s="9">
        <v>65.09</v>
      </c>
      <c r="C23" s="9" t="e">
        <f>B23-#REF!</f>
        <v>#REF!</v>
      </c>
      <c r="D23" s="9">
        <v>1.05</v>
      </c>
      <c r="E23" s="9">
        <v>12.48</v>
      </c>
      <c r="F23" s="9">
        <f>E23-D23</f>
        <v>11.43</v>
      </c>
      <c r="G23" s="9">
        <f>2.36-D23</f>
        <v>1.3099999999999998</v>
      </c>
      <c r="H23" s="9">
        <f>F23-G23</f>
        <v>10.119999999999999</v>
      </c>
      <c r="I23">
        <v>34.58</v>
      </c>
      <c r="J23" s="9">
        <v>1</v>
      </c>
      <c r="K23" s="9">
        <v>0.15</v>
      </c>
      <c r="L23" s="9">
        <v>13.3</v>
      </c>
      <c r="M23" s="9">
        <f>(L23-$B$11)/$B$10</f>
        <v>5.4113157701621768</v>
      </c>
      <c r="N23" s="9">
        <f>((M23*K23)/J23)*1000</f>
        <v>811.69736552432653</v>
      </c>
      <c r="O23">
        <f>N23/1000</f>
        <v>0.81169736552432648</v>
      </c>
    </row>
    <row r="24" spans="1:16" ht="15" thickBot="1" x14ac:dyDescent="0.35"/>
    <row r="25" spans="1:16" ht="15" thickBot="1" x14ac:dyDescent="0.35">
      <c r="A25" s="53" t="s">
        <v>100</v>
      </c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5"/>
    </row>
    <row r="26" spans="1:16" ht="57.6" x14ac:dyDescent="0.3">
      <c r="A26" s="11" t="s">
        <v>94</v>
      </c>
      <c r="B26" s="11" t="s">
        <v>105</v>
      </c>
      <c r="C26" s="11" t="s">
        <v>106</v>
      </c>
      <c r="D26" s="11" t="s">
        <v>95</v>
      </c>
      <c r="E26" s="11" t="s">
        <v>107</v>
      </c>
      <c r="F26" s="11" t="s">
        <v>95</v>
      </c>
      <c r="G26" s="11" t="s">
        <v>107</v>
      </c>
      <c r="H26" s="11"/>
      <c r="I26" s="11"/>
      <c r="J26" s="11"/>
      <c r="K26" s="11"/>
      <c r="L26" s="11" t="s">
        <v>99</v>
      </c>
      <c r="M26" s="11" t="s">
        <v>111</v>
      </c>
      <c r="N26" s="11" t="s">
        <v>112</v>
      </c>
      <c r="O26" s="11" t="s">
        <v>113</v>
      </c>
    </row>
    <row r="27" spans="1:16" x14ac:dyDescent="0.3">
      <c r="A27" s="13" t="s">
        <v>30</v>
      </c>
      <c r="B27" s="13">
        <f t="shared" ref="B27:B28" si="0">0.1018/2</f>
        <v>5.0900000000000001E-2</v>
      </c>
      <c r="C27" s="13">
        <f>B27*0.05</f>
        <v>2.5450000000000004E-3</v>
      </c>
      <c r="D27" s="22">
        <f>(E15*0.05)/1000</f>
        <v>2.6250000000000002E-3</v>
      </c>
      <c r="E27" s="21">
        <f>D27/C27</f>
        <v>1.0314341846758348</v>
      </c>
      <c r="F27" s="22">
        <f>(G15*0.05)/1000</f>
        <v>1.3450000000000001E-3</v>
      </c>
      <c r="G27" s="21">
        <f>F27/E27</f>
        <v>1.304009523809524E-3</v>
      </c>
      <c r="H27" s="22"/>
      <c r="I27" s="20"/>
      <c r="J27" s="22"/>
      <c r="K27" s="20"/>
      <c r="L27" s="13">
        <f>(G21*O21)/1000</f>
        <v>1.0273819344455606E-3</v>
      </c>
      <c r="M27" s="22">
        <f>(C27-F27)</f>
        <v>1.2000000000000003E-3</v>
      </c>
      <c r="N27" s="21">
        <f>100% -G27</f>
        <v>0.99869599047619051</v>
      </c>
      <c r="O27" s="23">
        <f>L27/C27</f>
        <v>0.40368641824972906</v>
      </c>
      <c r="P27" s="28">
        <f>N27-O27</f>
        <v>0.59500957222646145</v>
      </c>
    </row>
    <row r="28" spans="1:16" x14ac:dyDescent="0.3">
      <c r="A28" s="13" t="s">
        <v>33</v>
      </c>
      <c r="B28" s="13">
        <f t="shared" si="0"/>
        <v>5.0900000000000001E-2</v>
      </c>
      <c r="C28" s="13">
        <f t="shared" ref="C28" si="1">B28*0.05</f>
        <v>2.5450000000000004E-3</v>
      </c>
      <c r="D28" s="22">
        <f>(E16*0.05)/1000</f>
        <v>2.1100000000000003E-3</v>
      </c>
      <c r="E28" s="21">
        <f t="shared" ref="E28" si="2">D28/C28</f>
        <v>0.82907662082514733</v>
      </c>
      <c r="F28" s="22">
        <f>(G16*0.05)/1000</f>
        <v>1.7600000000000003E-3</v>
      </c>
      <c r="G28" s="21">
        <f t="shared" ref="G28" si="3">F28/E28</f>
        <v>2.1228436018957352E-3</v>
      </c>
      <c r="H28" s="22"/>
      <c r="I28" s="20"/>
      <c r="J28" s="22"/>
      <c r="K28" s="20"/>
      <c r="L28" s="13">
        <f>(G22*O22)/1000</f>
        <v>9.695570860618405E-4</v>
      </c>
      <c r="M28" s="22">
        <f>(C28-F28)</f>
        <v>7.8500000000000011E-4</v>
      </c>
      <c r="N28" s="21">
        <f>100% -G28</f>
        <v>0.99787715639810426</v>
      </c>
      <c r="O28" s="23">
        <f t="shared" ref="O28" si="4">L28/C28</f>
        <v>0.3809654562129039</v>
      </c>
      <c r="P28" s="28">
        <f>N28-O28</f>
        <v>0.61691170018520036</v>
      </c>
    </row>
    <row r="33" spans="1:15" x14ac:dyDescent="0.3">
      <c r="A33" s="9"/>
      <c r="B33" s="9"/>
      <c r="C33" s="9"/>
      <c r="D33" s="9"/>
      <c r="E33" s="9"/>
      <c r="F33" s="9"/>
      <c r="G33" s="9"/>
      <c r="H33" s="9"/>
      <c r="J33" s="9"/>
      <c r="K33" s="9"/>
      <c r="L33" s="9"/>
      <c r="M33" s="9"/>
      <c r="N33" s="9"/>
    </row>
    <row r="34" spans="1:15" x14ac:dyDescent="0.3">
      <c r="A34" s="9"/>
      <c r="B34" s="9"/>
      <c r="C34" s="9"/>
      <c r="D34" s="9"/>
      <c r="E34" s="9"/>
      <c r="F34" s="9"/>
      <c r="G34" s="9"/>
      <c r="H34" s="9"/>
      <c r="J34" s="9"/>
      <c r="K34" s="9"/>
      <c r="L34" s="9"/>
      <c r="M34" s="9"/>
      <c r="N34" s="9"/>
    </row>
    <row r="39" spans="1:15" x14ac:dyDescent="0.3">
      <c r="A39" s="13"/>
      <c r="B39" s="13"/>
      <c r="C39" s="13"/>
      <c r="D39" s="22"/>
      <c r="E39" s="21"/>
      <c r="F39" s="22"/>
      <c r="G39" s="20"/>
      <c r="H39" s="22"/>
      <c r="I39" s="20"/>
      <c r="J39" s="22"/>
      <c r="K39" s="20"/>
      <c r="L39" s="13"/>
      <c r="M39" s="22"/>
      <c r="N39" s="20"/>
      <c r="O39" s="23"/>
    </row>
    <row r="40" spans="1:15" x14ac:dyDescent="0.3">
      <c r="A40" s="13"/>
      <c r="B40" s="13"/>
      <c r="C40" s="13"/>
      <c r="D40" s="22"/>
      <c r="E40" s="21"/>
      <c r="F40" s="22"/>
      <c r="G40" s="20"/>
      <c r="H40" s="22"/>
      <c r="I40" s="20"/>
      <c r="J40" s="22"/>
      <c r="K40" s="20"/>
      <c r="L40" s="13"/>
      <c r="M40" s="22"/>
      <c r="N40" s="20"/>
      <c r="O40" s="23"/>
    </row>
    <row r="41" spans="1:15" x14ac:dyDescent="0.3">
      <c r="A41" s="13"/>
      <c r="B41" s="13"/>
      <c r="C41" s="13"/>
      <c r="D41" s="22"/>
      <c r="E41" s="21"/>
      <c r="F41" s="22"/>
      <c r="G41" s="20"/>
      <c r="H41" s="22"/>
      <c r="I41" s="20"/>
      <c r="J41" s="22"/>
      <c r="K41" s="20"/>
      <c r="L41" s="13"/>
      <c r="M41" s="22"/>
      <c r="N41" s="20"/>
      <c r="O41" s="23"/>
    </row>
    <row r="42" spans="1:15" x14ac:dyDescent="0.3">
      <c r="A42" s="13"/>
      <c r="B42" s="13"/>
      <c r="C42" s="13"/>
      <c r="D42" s="22"/>
      <c r="E42" s="21"/>
      <c r="F42" s="22"/>
      <c r="G42" s="20"/>
      <c r="H42" s="22"/>
      <c r="I42" s="20"/>
      <c r="J42" s="22"/>
      <c r="K42" s="20"/>
      <c r="L42" s="13"/>
      <c r="M42" s="22"/>
      <c r="N42" s="20"/>
      <c r="O42" s="23"/>
    </row>
    <row r="44" spans="1:15" x14ac:dyDescent="0.3">
      <c r="A44" s="13"/>
      <c r="B44" s="13"/>
      <c r="C44" s="13"/>
      <c r="D44" s="22"/>
      <c r="E44" s="21"/>
      <c r="F44" s="22"/>
      <c r="G44" s="20"/>
      <c r="H44" s="22"/>
      <c r="I44" s="20"/>
      <c r="J44" s="22"/>
      <c r="K44" s="20"/>
      <c r="L44" s="13"/>
      <c r="M44" s="22"/>
      <c r="N44" s="20"/>
      <c r="O44" s="23"/>
    </row>
    <row r="45" spans="1:15" x14ac:dyDescent="0.3">
      <c r="A45" s="13"/>
      <c r="B45" s="13"/>
      <c r="C45" s="13"/>
      <c r="D45" s="22"/>
      <c r="E45" s="21"/>
      <c r="F45" s="22"/>
      <c r="G45" s="20"/>
      <c r="H45" s="22"/>
      <c r="I45" s="20"/>
      <c r="J45" s="22"/>
      <c r="K45" s="20"/>
      <c r="L45" s="13"/>
      <c r="M45" s="22"/>
      <c r="N45" s="20"/>
      <c r="O45" s="23"/>
    </row>
    <row r="47" spans="1:15" x14ac:dyDescent="0.3">
      <c r="A47" s="13"/>
      <c r="B47" s="13"/>
      <c r="C47" s="13"/>
      <c r="D47" s="22"/>
      <c r="E47" s="21"/>
      <c r="F47" s="22"/>
      <c r="G47" s="20"/>
      <c r="H47" s="22"/>
      <c r="I47" s="20"/>
      <c r="J47" s="22"/>
      <c r="K47" s="20"/>
      <c r="L47" s="13"/>
      <c r="M47" s="22"/>
      <c r="N47" s="20"/>
      <c r="O47" s="23"/>
    </row>
    <row r="48" spans="1:15" x14ac:dyDescent="0.3">
      <c r="A48" s="13"/>
      <c r="B48" s="13"/>
      <c r="C48" s="13"/>
      <c r="D48" s="22"/>
      <c r="E48" s="21"/>
      <c r="F48" s="22"/>
      <c r="G48" s="20"/>
      <c r="H48" s="22"/>
      <c r="I48" s="20"/>
      <c r="J48" s="22"/>
      <c r="K48" s="20"/>
      <c r="L48" s="13"/>
      <c r="M48" s="22"/>
      <c r="N48" s="20"/>
      <c r="O48" s="23"/>
    </row>
    <row r="49" spans="1:15" x14ac:dyDescent="0.3">
      <c r="A49" s="13"/>
      <c r="B49" s="13"/>
      <c r="C49" s="13"/>
      <c r="D49" s="22"/>
      <c r="E49" s="21"/>
      <c r="F49" s="22"/>
      <c r="G49" s="20"/>
      <c r="H49" s="22"/>
      <c r="I49" s="20"/>
      <c r="J49" s="22"/>
      <c r="K49" s="20"/>
      <c r="L49" s="13"/>
      <c r="M49" s="22"/>
      <c r="N49" s="20"/>
      <c r="O49" s="23"/>
    </row>
    <row r="50" spans="1:15" x14ac:dyDescent="0.3">
      <c r="A50" s="13"/>
      <c r="B50" s="13"/>
      <c r="C50" s="13"/>
      <c r="D50" s="22"/>
      <c r="E50" s="21"/>
      <c r="F50" s="22"/>
      <c r="G50" s="20"/>
      <c r="H50" s="22"/>
      <c r="I50" s="20"/>
      <c r="J50" s="22"/>
      <c r="K50" s="20"/>
      <c r="L50" s="13"/>
      <c r="M50" s="22"/>
      <c r="N50" s="20"/>
      <c r="O50" s="23"/>
    </row>
    <row r="51" spans="1:15" x14ac:dyDescent="0.3">
      <c r="A51" s="13"/>
      <c r="B51" s="13"/>
      <c r="C51" s="13"/>
      <c r="D51" s="22"/>
      <c r="E51" s="21"/>
      <c r="F51" s="22"/>
      <c r="G51" s="20"/>
      <c r="H51" s="22"/>
      <c r="I51" s="20"/>
      <c r="J51" s="22"/>
      <c r="K51" s="20"/>
      <c r="L51" s="13"/>
      <c r="M51" s="22"/>
      <c r="N51" s="20"/>
      <c r="O51" s="23"/>
    </row>
    <row r="52" spans="1:15" x14ac:dyDescent="0.3">
      <c r="A52" s="13"/>
      <c r="B52" s="13"/>
      <c r="C52" s="13"/>
      <c r="D52" s="22"/>
      <c r="E52" s="21"/>
      <c r="F52" s="22"/>
      <c r="G52" s="20"/>
      <c r="H52" s="22"/>
      <c r="I52" s="20"/>
      <c r="J52" s="22"/>
      <c r="K52" s="20"/>
      <c r="L52" s="13"/>
      <c r="M52" s="22"/>
      <c r="N52" s="20"/>
      <c r="O52" s="23"/>
    </row>
    <row r="53" spans="1:15" x14ac:dyDescent="0.3">
      <c r="A53" s="13"/>
      <c r="B53" s="13"/>
      <c r="C53" s="13"/>
      <c r="D53" s="22"/>
      <c r="E53" s="21"/>
      <c r="F53" s="22"/>
      <c r="G53" s="20"/>
      <c r="H53" s="22"/>
      <c r="I53" s="20"/>
      <c r="J53" s="22"/>
      <c r="K53" s="20"/>
      <c r="L53" s="13"/>
      <c r="M53" s="22"/>
      <c r="N53" s="20"/>
      <c r="O53" s="23"/>
    </row>
    <row r="54" spans="1:15" x14ac:dyDescent="0.3">
      <c r="A54" s="13"/>
      <c r="B54" s="13"/>
      <c r="C54" s="13"/>
      <c r="D54" s="22"/>
      <c r="E54" s="21"/>
      <c r="F54" s="22"/>
      <c r="G54" s="20"/>
      <c r="H54" s="22"/>
      <c r="I54" s="20"/>
      <c r="J54" s="22"/>
      <c r="K54" s="20"/>
      <c r="L54" s="13"/>
      <c r="M54" s="22"/>
      <c r="N54" s="20"/>
      <c r="O54" s="23"/>
    </row>
    <row r="55" spans="1:15" x14ac:dyDescent="0.3">
      <c r="A55" s="13"/>
      <c r="B55" s="13"/>
      <c r="C55" s="13"/>
      <c r="D55" s="22"/>
      <c r="E55" s="21"/>
      <c r="F55" s="22"/>
      <c r="G55" s="20"/>
      <c r="H55" s="22"/>
      <c r="I55" s="20"/>
      <c r="J55" s="22"/>
      <c r="K55" s="20"/>
      <c r="L55" s="13"/>
      <c r="M55" s="22"/>
      <c r="N55" s="20"/>
      <c r="O55" s="23"/>
    </row>
    <row r="56" spans="1:15" x14ac:dyDescent="0.3">
      <c r="A56" s="13"/>
      <c r="B56" s="13"/>
      <c r="C56" s="13"/>
      <c r="D56" s="22"/>
      <c r="E56" s="21"/>
      <c r="F56" s="22"/>
      <c r="G56" s="20"/>
      <c r="H56" s="22"/>
      <c r="I56" s="20"/>
      <c r="J56" s="22"/>
      <c r="K56" s="20"/>
      <c r="L56" s="13"/>
      <c r="M56" s="22"/>
      <c r="N56" s="20"/>
      <c r="O56" s="23"/>
    </row>
    <row r="57" spans="1:15" x14ac:dyDescent="0.3">
      <c r="A57" s="13"/>
      <c r="B57" s="13"/>
      <c r="C57" s="13"/>
      <c r="D57" s="22"/>
      <c r="E57" s="21"/>
      <c r="F57" s="22"/>
      <c r="G57" s="20"/>
      <c r="H57" s="22"/>
      <c r="I57" s="20"/>
      <c r="J57" s="22"/>
      <c r="K57" s="20"/>
      <c r="L57" s="13"/>
      <c r="M57" s="22"/>
      <c r="N57" s="20"/>
      <c r="O57" s="23"/>
    </row>
  </sheetData>
  <mergeCells count="4">
    <mergeCell ref="A2:C2"/>
    <mergeCell ref="A13:L13"/>
    <mergeCell ref="A25:O25"/>
    <mergeCell ref="A19:O19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3D6F5C-92BB-4213-95E3-1AFC67BD2627}">
  <dimension ref="A1:P46"/>
  <sheetViews>
    <sheetView topLeftCell="A3" zoomScale="85" zoomScaleNormal="85" workbookViewId="0">
      <selection activeCell="A10" sqref="A10:D34"/>
    </sheetView>
  </sheetViews>
  <sheetFormatPr defaultRowHeight="14.4" x14ac:dyDescent="0.3"/>
  <cols>
    <col min="1" max="1" width="13.88671875" customWidth="1"/>
    <col min="4" max="4" width="11.6640625" customWidth="1"/>
    <col min="5" max="5" width="10.44140625" customWidth="1"/>
    <col min="6" max="6" width="10.33203125" customWidth="1"/>
    <col min="7" max="7" width="10.88671875" customWidth="1"/>
  </cols>
  <sheetData>
    <row r="1" spans="1:16" ht="15.6" x14ac:dyDescent="0.3">
      <c r="A1" s="62" t="s">
        <v>124</v>
      </c>
      <c r="B1" s="63"/>
      <c r="C1" s="63"/>
      <c r="D1" s="63"/>
      <c r="E1" s="63"/>
      <c r="F1" s="63"/>
      <c r="G1" s="63"/>
      <c r="H1" s="63"/>
      <c r="I1" s="64"/>
    </row>
    <row r="2" spans="1:16" x14ac:dyDescent="0.3">
      <c r="A2" s="65" t="e" vm="1">
        <v>#VALUE!</v>
      </c>
      <c r="B2" s="66"/>
      <c r="C2" s="66"/>
      <c r="D2" s="66"/>
      <c r="E2" s="66"/>
      <c r="F2" s="66"/>
      <c r="G2" s="66"/>
      <c r="H2" s="66"/>
      <c r="I2" s="67"/>
    </row>
    <row r="3" spans="1:16" x14ac:dyDescent="0.3">
      <c r="A3" s="68"/>
      <c r="B3" s="69"/>
      <c r="C3" s="69"/>
      <c r="D3" s="69"/>
      <c r="E3" s="69"/>
      <c r="F3" s="69"/>
      <c r="G3" s="69"/>
      <c r="H3" s="69"/>
      <c r="I3" s="70"/>
    </row>
    <row r="4" spans="1:16" x14ac:dyDescent="0.3">
      <c r="A4" s="68"/>
      <c r="B4" s="69"/>
      <c r="C4" s="69"/>
      <c r="D4" s="69"/>
      <c r="E4" s="69"/>
      <c r="F4" s="69"/>
      <c r="G4" s="69"/>
      <c r="H4" s="69"/>
      <c r="I4" s="70"/>
    </row>
    <row r="5" spans="1:16" x14ac:dyDescent="0.3">
      <c r="A5" s="68"/>
      <c r="B5" s="69"/>
      <c r="C5" s="69"/>
      <c r="D5" s="69"/>
      <c r="E5" s="69"/>
      <c r="F5" s="69"/>
      <c r="G5" s="69"/>
      <c r="H5" s="69"/>
      <c r="I5" s="70"/>
    </row>
    <row r="6" spans="1:16" x14ac:dyDescent="0.3">
      <c r="A6" s="68"/>
      <c r="B6" s="69"/>
      <c r="C6" s="69"/>
      <c r="D6" s="69"/>
      <c r="E6" s="69"/>
      <c r="F6" s="69"/>
      <c r="G6" s="69"/>
      <c r="H6" s="69"/>
      <c r="I6" s="70"/>
    </row>
    <row r="7" spans="1:16" x14ac:dyDescent="0.3">
      <c r="A7" s="71"/>
      <c r="B7" s="72"/>
      <c r="C7" s="72"/>
      <c r="D7" s="72"/>
      <c r="E7" s="72"/>
      <c r="F7" s="72"/>
      <c r="G7" s="72"/>
      <c r="H7" s="72"/>
      <c r="I7" s="73"/>
    </row>
    <row r="9" spans="1:16" x14ac:dyDescent="0.3">
      <c r="A9" s="74" t="s">
        <v>128</v>
      </c>
      <c r="B9" s="74"/>
      <c r="C9" s="74"/>
      <c r="D9" s="74"/>
      <c r="E9" s="74"/>
      <c r="F9" s="74"/>
      <c r="G9" s="74"/>
      <c r="H9" s="74"/>
      <c r="I9" s="74"/>
    </row>
    <row r="10" spans="1:16" ht="43.2" x14ac:dyDescent="0.3">
      <c r="A10" s="11" t="s">
        <v>127</v>
      </c>
      <c r="B10" s="11" t="s">
        <v>130</v>
      </c>
      <c r="C10" s="11" t="s">
        <v>51</v>
      </c>
      <c r="D10" s="11" t="s">
        <v>75</v>
      </c>
      <c r="E10" s="11" t="s">
        <v>131</v>
      </c>
      <c r="F10" s="11" t="s">
        <v>133</v>
      </c>
      <c r="G10" s="4" t="s">
        <v>129</v>
      </c>
      <c r="M10" s="11"/>
    </row>
    <row r="11" spans="1:16" x14ac:dyDescent="0.3">
      <c r="A11" s="9" t="s">
        <v>15</v>
      </c>
      <c r="B11" s="9">
        <v>5.01</v>
      </c>
      <c r="C11" s="9">
        <v>0.05</v>
      </c>
      <c r="D11" s="8">
        <v>39.510830506721256</v>
      </c>
      <c r="E11" s="7">
        <f>C11*($D$32-D11)/B11</f>
        <v>0.13177106051085807</v>
      </c>
      <c r="F11" s="7">
        <f>LOG(E11)</f>
        <v>-0.88017995878950284</v>
      </c>
      <c r="G11">
        <f>LOG(D11)</f>
        <v>1.596716158527193</v>
      </c>
      <c r="M11" s="7"/>
      <c r="N11" s="7"/>
      <c r="O11" s="9"/>
      <c r="P11" s="9"/>
    </row>
    <row r="12" spans="1:16" x14ac:dyDescent="0.3">
      <c r="A12" s="9" t="s">
        <v>16</v>
      </c>
      <c r="B12" s="9">
        <v>5</v>
      </c>
      <c r="C12" s="9">
        <v>0.05</v>
      </c>
      <c r="D12" s="8">
        <v>39.65192790369737</v>
      </c>
      <c r="E12" s="7">
        <f t="shared" ref="E12:E31" si="0">C12*($D$32-D12)/B12</f>
        <v>0.13062362866211866</v>
      </c>
      <c r="F12" s="7">
        <f t="shared" ref="F12:F31" si="1">LOG(E12)</f>
        <v>-0.88397825591406443</v>
      </c>
      <c r="G12">
        <f t="shared" ref="G12:G30" si="2">LOG(D12)</f>
        <v>1.5982643078599925</v>
      </c>
    </row>
    <row r="13" spans="1:16" x14ac:dyDescent="0.3">
      <c r="A13" s="9" t="s">
        <v>17</v>
      </c>
      <c r="B13" s="9">
        <v>5.01</v>
      </c>
      <c r="C13" s="9">
        <v>0.05</v>
      </c>
      <c r="D13" s="8">
        <v>27.007430405453228</v>
      </c>
      <c r="E13" s="7">
        <f t="shared" si="0"/>
        <v>0.2565554926592416</v>
      </c>
      <c r="F13" s="7">
        <f t="shared" si="1"/>
        <v>-0.59081868299236462</v>
      </c>
      <c r="G13">
        <f t="shared" si="2"/>
        <v>1.4314832656454597</v>
      </c>
    </row>
    <row r="14" spans="1:16" x14ac:dyDescent="0.3">
      <c r="A14" s="9" t="s">
        <v>27</v>
      </c>
      <c r="B14" s="9">
        <v>5.05</v>
      </c>
      <c r="C14" s="9">
        <v>0.05</v>
      </c>
      <c r="D14" s="8">
        <v>58.341906180071966</v>
      </c>
      <c r="E14" s="7">
        <f>C14*($D$34-D14)/B14</f>
        <v>0.1994371524989107</v>
      </c>
      <c r="F14" s="7">
        <f>LOG(E14)</f>
        <v>-0.70019393518036865</v>
      </c>
      <c r="G14">
        <f t="shared" si="2"/>
        <v>1.765980614534818</v>
      </c>
      <c r="H14" s="9"/>
      <c r="I14" s="9"/>
    </row>
    <row r="15" spans="1:16" x14ac:dyDescent="0.3">
      <c r="A15" s="9" t="s">
        <v>28</v>
      </c>
      <c r="B15" s="9">
        <v>5.05</v>
      </c>
      <c r="C15" s="9">
        <v>0.05</v>
      </c>
      <c r="D15" s="8">
        <v>36.927662777466224</v>
      </c>
      <c r="E15" s="7">
        <f t="shared" si="0"/>
        <v>0.15630324744993079</v>
      </c>
      <c r="F15" s="7">
        <f t="shared" si="1"/>
        <v>-0.80603199872467768</v>
      </c>
      <c r="G15">
        <f t="shared" si="2"/>
        <v>1.5673518211908997</v>
      </c>
    </row>
    <row r="16" spans="1:16" x14ac:dyDescent="0.3">
      <c r="A16" s="9" t="s">
        <v>29</v>
      </c>
      <c r="B16" s="9">
        <v>5.01</v>
      </c>
      <c r="C16" s="9">
        <v>0.05</v>
      </c>
      <c r="D16" s="8">
        <v>36.450102356931687</v>
      </c>
      <c r="E16" s="7">
        <f t="shared" si="0"/>
        <v>0.16231724963051444</v>
      </c>
      <c r="F16" s="7">
        <f t="shared" si="1"/>
        <v>-0.78963532477467657</v>
      </c>
      <c r="G16">
        <f t="shared" si="2"/>
        <v>1.5616987522147123</v>
      </c>
    </row>
    <row r="17" spans="1:16" x14ac:dyDescent="0.3">
      <c r="A17" s="9" t="s">
        <v>30</v>
      </c>
      <c r="B17" s="9">
        <v>5</v>
      </c>
      <c r="C17" s="9">
        <v>0.05</v>
      </c>
      <c r="D17" s="8">
        <v>6.2444057581218582</v>
      </c>
      <c r="E17" s="7">
        <f t="shared" si="0"/>
        <v>0.46469885011787382</v>
      </c>
      <c r="F17" s="7">
        <f t="shared" si="1"/>
        <v>-0.33282840216731208</v>
      </c>
      <c r="G17">
        <f t="shared" si="2"/>
        <v>0.79549111552873586</v>
      </c>
    </row>
    <row r="18" spans="1:16" x14ac:dyDescent="0.3">
      <c r="A18" s="32" t="s">
        <v>31</v>
      </c>
      <c r="B18" s="9">
        <v>5.0599999999999996</v>
      </c>
      <c r="C18" s="32">
        <v>0.05</v>
      </c>
      <c r="D18" s="8">
        <v>4.8659927261244276</v>
      </c>
      <c r="E18" s="7">
        <f t="shared" si="0"/>
        <v>0.47280926920735988</v>
      </c>
      <c r="F18" s="7">
        <f t="shared" si="1"/>
        <v>-0.32531401790059955</v>
      </c>
      <c r="G18">
        <f t="shared" si="2"/>
        <v>0.68717145539496727</v>
      </c>
    </row>
    <row r="19" spans="1:16" x14ac:dyDescent="0.3">
      <c r="A19" s="9" t="s">
        <v>32</v>
      </c>
      <c r="B19" s="9">
        <v>5.01</v>
      </c>
      <c r="C19" s="9">
        <v>0.05</v>
      </c>
      <c r="D19" s="8">
        <v>20.245608996520954</v>
      </c>
      <c r="E19" s="7">
        <f t="shared" si="0"/>
        <v>0.32403874025337615</v>
      </c>
      <c r="F19" s="7">
        <f t="shared" si="1"/>
        <v>-0.48940306487827473</v>
      </c>
      <c r="G19">
        <f t="shared" si="2"/>
        <v>1.3063308450634648</v>
      </c>
    </row>
    <row r="20" spans="1:16" x14ac:dyDescent="0.3">
      <c r="A20" s="9" t="s">
        <v>33</v>
      </c>
      <c r="B20" s="9">
        <v>5.01</v>
      </c>
      <c r="C20" s="9">
        <v>0.05</v>
      </c>
      <c r="D20" s="8">
        <v>1.8486791600198174</v>
      </c>
      <c r="E20" s="7">
        <f t="shared" si="0"/>
        <v>0.50764083443003416</v>
      </c>
      <c r="F20" s="7">
        <f t="shared" si="1"/>
        <v>-0.29444345069405542</v>
      </c>
      <c r="G20">
        <f t="shared" si="2"/>
        <v>0.26686154548936397</v>
      </c>
    </row>
    <row r="21" spans="1:16" x14ac:dyDescent="0.3">
      <c r="A21" s="9" t="s">
        <v>34</v>
      </c>
      <c r="B21" s="9">
        <v>5.01</v>
      </c>
      <c r="C21" s="9">
        <v>0.05</v>
      </c>
      <c r="D21" s="8">
        <v>2.792946355167663</v>
      </c>
      <c r="E21" s="7">
        <f t="shared" si="0"/>
        <v>0.49821701012716141</v>
      </c>
      <c r="F21" s="7">
        <f t="shared" si="1"/>
        <v>-0.30258144886243715</v>
      </c>
      <c r="G21">
        <f t="shared" si="2"/>
        <v>0.4460625941763337</v>
      </c>
    </row>
    <row r="22" spans="1:16" x14ac:dyDescent="0.3">
      <c r="A22" s="9" t="s">
        <v>35</v>
      </c>
      <c r="B22" s="9">
        <v>5.05</v>
      </c>
      <c r="C22" s="9">
        <v>0.05</v>
      </c>
      <c r="D22" s="8">
        <v>2.9774583358287363</v>
      </c>
      <c r="E22" s="7">
        <f t="shared" si="0"/>
        <v>0.49244388548594559</v>
      </c>
      <c r="F22" s="7">
        <f t="shared" si="1"/>
        <v>-0.3076432506735014</v>
      </c>
      <c r="G22">
        <f t="shared" si="2"/>
        <v>0.47384569302760354</v>
      </c>
    </row>
    <row r="23" spans="1:16" x14ac:dyDescent="0.3">
      <c r="A23" s="9" t="s">
        <v>36</v>
      </c>
      <c r="B23" s="9">
        <v>5.0599999999999996</v>
      </c>
      <c r="C23" s="9">
        <v>0.05</v>
      </c>
      <c r="D23" s="8">
        <v>8.0786719188113523</v>
      </c>
      <c r="E23" s="7">
        <f t="shared" si="0"/>
        <v>0.44106342738239018</v>
      </c>
      <c r="F23" s="7">
        <f t="shared" si="1"/>
        <v>-0.35549895207086274</v>
      </c>
      <c r="G23">
        <f t="shared" si="2"/>
        <v>0.9073399714505197</v>
      </c>
    </row>
    <row r="24" spans="1:16" x14ac:dyDescent="0.3">
      <c r="A24" s="9" t="s">
        <v>40</v>
      </c>
      <c r="B24" s="9">
        <v>5.03</v>
      </c>
      <c r="C24" s="9">
        <v>0.05</v>
      </c>
      <c r="D24" s="8">
        <v>11.399887570710671</v>
      </c>
      <c r="E24" s="7">
        <f t="shared" si="0"/>
        <v>0.41067995227831572</v>
      </c>
      <c r="F24" s="7">
        <f t="shared" si="1"/>
        <v>-0.38649649711569134</v>
      </c>
      <c r="G24">
        <f t="shared" si="2"/>
        <v>1.0569005682083379</v>
      </c>
    </row>
    <row r="25" spans="1:16" x14ac:dyDescent="0.3">
      <c r="A25" s="9" t="s">
        <v>41</v>
      </c>
      <c r="B25" s="9">
        <v>5</v>
      </c>
      <c r="C25" s="9">
        <v>0.05</v>
      </c>
      <c r="D25" s="8">
        <v>23.425727251444158</v>
      </c>
      <c r="E25" s="7">
        <f t="shared" si="0"/>
        <v>0.29288563518465077</v>
      </c>
      <c r="F25" s="7">
        <f t="shared" si="1"/>
        <v>-0.53330192812388055</v>
      </c>
      <c r="G25">
        <f t="shared" si="2"/>
        <v>1.3696930824365057</v>
      </c>
      <c r="N25" s="11"/>
      <c r="O25" s="11"/>
      <c r="P25" s="11"/>
    </row>
    <row r="26" spans="1:16" x14ac:dyDescent="0.3">
      <c r="A26" s="9" t="s">
        <v>37</v>
      </c>
      <c r="B26" s="9">
        <v>5.0199999999999996</v>
      </c>
      <c r="C26" s="9">
        <v>0.05</v>
      </c>
      <c r="D26" s="8">
        <v>6.9010513363568542</v>
      </c>
      <c r="E26" s="7">
        <f t="shared" si="0"/>
        <v>0.45630716567283258</v>
      </c>
      <c r="F26" s="7">
        <f t="shared" si="1"/>
        <v>-0.34074271117970545</v>
      </c>
      <c r="G26">
        <f t="shared" si="2"/>
        <v>0.83891525809917022</v>
      </c>
      <c r="N26" s="9"/>
      <c r="O26" s="13"/>
      <c r="P26" s="7"/>
    </row>
    <row r="27" spans="1:16" x14ac:dyDescent="0.3">
      <c r="A27" s="9" t="s">
        <v>42</v>
      </c>
      <c r="B27" s="9">
        <v>5.03</v>
      </c>
      <c r="C27" s="9">
        <v>0.05</v>
      </c>
      <c r="D27" s="8">
        <v>6.928185451159953</v>
      </c>
      <c r="E27" s="7">
        <f t="shared" si="0"/>
        <v>0.45513027155814395</v>
      </c>
      <c r="F27" s="7">
        <f t="shared" si="1"/>
        <v>-0.34186427780179696</v>
      </c>
      <c r="G27">
        <f t="shared" si="2"/>
        <v>0.84061950420234477</v>
      </c>
    </row>
    <row r="28" spans="1:16" x14ac:dyDescent="0.3">
      <c r="A28" s="9" t="s">
        <v>43</v>
      </c>
      <c r="B28" s="9">
        <v>5.01</v>
      </c>
      <c r="C28" s="9">
        <v>0.05</v>
      </c>
      <c r="D28" s="8">
        <v>7.8236112396622222</v>
      </c>
      <c r="E28" s="7">
        <f t="shared" si="0"/>
        <v>0.44801077375496023</v>
      </c>
      <c r="F28" s="7">
        <f t="shared" si="1"/>
        <v>-0.34871154197045395</v>
      </c>
      <c r="G28">
        <f t="shared" si="2"/>
        <v>0.89340726194005027</v>
      </c>
    </row>
    <row r="29" spans="1:16" x14ac:dyDescent="0.3">
      <c r="A29" s="9" t="s">
        <v>38</v>
      </c>
      <c r="B29" s="9">
        <v>5.03</v>
      </c>
      <c r="C29" s="9">
        <v>0.05</v>
      </c>
      <c r="D29" s="8">
        <v>14.297811031681645</v>
      </c>
      <c r="E29" s="7">
        <f t="shared" si="0"/>
        <v>0.38187355604599987</v>
      </c>
      <c r="F29" s="7">
        <f t="shared" si="1"/>
        <v>-0.41808041458015283</v>
      </c>
      <c r="G29">
        <f t="shared" si="2"/>
        <v>1.1552695528755577</v>
      </c>
    </row>
    <row r="30" spans="1:16" x14ac:dyDescent="0.3">
      <c r="A30" s="9" t="s">
        <v>44</v>
      </c>
      <c r="B30" s="9">
        <v>5.0199999999999996</v>
      </c>
      <c r="C30" s="9">
        <v>0.05</v>
      </c>
      <c r="D30" s="8">
        <v>15.524273020781722</v>
      </c>
      <c r="E30" s="7">
        <f t="shared" si="0"/>
        <v>0.37041850347736571</v>
      </c>
      <c r="F30" s="7">
        <f t="shared" si="1"/>
        <v>-0.43130732718070014</v>
      </c>
      <c r="G30">
        <f t="shared" si="2"/>
        <v>1.1910112719432866</v>
      </c>
    </row>
    <row r="31" spans="1:16" x14ac:dyDescent="0.3">
      <c r="A31" s="9" t="s">
        <v>45</v>
      </c>
      <c r="B31" s="9">
        <v>5.05</v>
      </c>
      <c r="C31" s="9">
        <v>0.05</v>
      </c>
      <c r="D31" s="8">
        <v>16.783295947645517</v>
      </c>
      <c r="E31" s="7">
        <f t="shared" si="0"/>
        <v>0.35575242398280904</v>
      </c>
      <c r="F31" s="7">
        <f t="shared" si="1"/>
        <v>-0.44885213209041952</v>
      </c>
      <c r="G31">
        <f>LOG(D31)</f>
        <v>1.2248772527569056</v>
      </c>
    </row>
    <row r="32" spans="1:16" x14ac:dyDescent="0.3">
      <c r="A32" s="9" t="s">
        <v>39</v>
      </c>
      <c r="B32" s="9">
        <v>0</v>
      </c>
      <c r="C32" s="9">
        <v>0.05</v>
      </c>
      <c r="D32" s="8">
        <v>52.714290769909233</v>
      </c>
      <c r="E32" s="7">
        <v>0</v>
      </c>
      <c r="F32" s="7"/>
    </row>
    <row r="33" spans="1:6" x14ac:dyDescent="0.3">
      <c r="A33" s="9" t="s">
        <v>46</v>
      </c>
      <c r="B33" s="9">
        <v>0</v>
      </c>
      <c r="C33" s="9">
        <v>0.05</v>
      </c>
      <c r="D33" s="8">
        <v>50.603256638228139</v>
      </c>
      <c r="E33" s="7">
        <v>0</v>
      </c>
      <c r="F33" s="7"/>
    </row>
    <row r="34" spans="1:6" x14ac:dyDescent="0.3">
      <c r="A34" s="9" t="s">
        <v>47</v>
      </c>
      <c r="B34" s="9">
        <v>0</v>
      </c>
      <c r="C34" s="9">
        <v>0.05</v>
      </c>
      <c r="D34" s="8">
        <v>78.485058582461946</v>
      </c>
      <c r="E34" s="7">
        <v>0</v>
      </c>
      <c r="F34" s="7"/>
    </row>
    <row r="37" spans="1:6" x14ac:dyDescent="0.3">
      <c r="C37" s="4" t="s">
        <v>56</v>
      </c>
      <c r="D37" s="4" t="s">
        <v>55</v>
      </c>
    </row>
    <row r="38" spans="1:6" x14ac:dyDescent="0.3">
      <c r="A38" s="4"/>
      <c r="B38" s="4" t="s">
        <v>132</v>
      </c>
      <c r="C38" s="1" t="s">
        <v>134</v>
      </c>
      <c r="D38" t="s">
        <v>137</v>
      </c>
      <c r="E38" s="4" t="s">
        <v>136</v>
      </c>
      <c r="F38" s="4" t="s">
        <v>135</v>
      </c>
    </row>
    <row r="39" spans="1:6" x14ac:dyDescent="0.3">
      <c r="A39" s="4" t="s">
        <v>63</v>
      </c>
      <c r="B39" s="9">
        <v>1</v>
      </c>
      <c r="C39" s="9">
        <f>INTERCEPT(F11:F13,G11:G13)</f>
        <v>1.9207993550930333</v>
      </c>
      <c r="D39" s="9">
        <f>SLOPE(F11:F13,G11:G13)</f>
        <v>-1.7545528146631875</v>
      </c>
      <c r="E39" s="33">
        <f>10^C39</f>
        <v>83.329611122769805</v>
      </c>
      <c r="F39">
        <f>1/D39</f>
        <v>-0.56994579567099835</v>
      </c>
    </row>
    <row r="40" spans="1:6" x14ac:dyDescent="0.3">
      <c r="A40" s="4" t="s">
        <v>64</v>
      </c>
      <c r="B40" s="9">
        <v>0.9718</v>
      </c>
      <c r="C40" s="9">
        <f>INTERCEPT(F14:F16,G14:G16)</f>
        <v>-1.5528549374614975</v>
      </c>
      <c r="D40" s="9">
        <f>SLOPE(F14:F16,G14:G16)</f>
        <v>0.48267385088896037</v>
      </c>
      <c r="E40" s="33">
        <f t="shared" ref="E40:E45" si="3">10^C40</f>
        <v>2.7999163882808886E-2</v>
      </c>
      <c r="F40">
        <f t="shared" ref="F40:F45" si="4">1/D40</f>
        <v>2.0717923669539147</v>
      </c>
    </row>
    <row r="41" spans="1:6" x14ac:dyDescent="0.3">
      <c r="A41" s="4" t="s">
        <v>65</v>
      </c>
      <c r="B41" s="9">
        <v>0.98470000000000002</v>
      </c>
      <c r="C41" s="9">
        <f>INTERCEPT(F17:F19,G17:G19)</f>
        <v>-0.12404825695302329</v>
      </c>
      <c r="D41" s="9">
        <f>SLOPE(F17:F19,G17:G19)</f>
        <v>-0.2780217083490899</v>
      </c>
      <c r="E41" s="33">
        <f t="shared" si="3"/>
        <v>0.7515393815234982</v>
      </c>
      <c r="F41">
        <f>1/D41</f>
        <v>-3.5968414334911536</v>
      </c>
    </row>
    <row r="42" spans="1:6" x14ac:dyDescent="0.3">
      <c r="A42" s="4" t="s">
        <v>66</v>
      </c>
      <c r="B42" s="9">
        <v>0.93100000000000005</v>
      </c>
      <c r="C42" s="9">
        <f>INTERCEPT(F20:F22,G20:G22)</f>
        <v>-0.27893083854556699</v>
      </c>
      <c r="D42" s="9">
        <f>SLOPE(F17:F19,G17:G19)</f>
        <v>-0.2780217083490899</v>
      </c>
      <c r="E42" s="33">
        <f t="shared" si="3"/>
        <v>0.52610104138127067</v>
      </c>
      <c r="F42">
        <f t="shared" si="4"/>
        <v>-3.5968414334911536</v>
      </c>
    </row>
    <row r="43" spans="1:6" x14ac:dyDescent="0.3">
      <c r="A43" s="4" t="s">
        <v>67</v>
      </c>
      <c r="B43" s="9">
        <v>0.97509999999999997</v>
      </c>
      <c r="C43" s="9">
        <f>INTERCEPT(F23:F25,G23:G25)</f>
        <v>1.6670983325996813E-2</v>
      </c>
      <c r="D43" s="9">
        <f>SLOPE(F23:F25,G23:G25)</f>
        <v>-0.39752150987801405</v>
      </c>
      <c r="E43" s="33">
        <f t="shared" si="3"/>
        <v>1.0391326322171011</v>
      </c>
      <c r="F43">
        <f t="shared" si="4"/>
        <v>-2.5155871447229767</v>
      </c>
    </row>
    <row r="44" spans="1:6" x14ac:dyDescent="0.3">
      <c r="A44" s="4" t="s">
        <v>68</v>
      </c>
      <c r="B44" s="9">
        <v>0.98950000000000005</v>
      </c>
      <c r="C44" s="9">
        <f>INTERCEPT(F26:F28,G26:G28)</f>
        <v>-0.22498828348755398</v>
      </c>
      <c r="D44" s="9">
        <f>SLOPE(F26:F28,G26:G28)</f>
        <v>-0.13850047033000598</v>
      </c>
      <c r="E44" s="33">
        <f t="shared" si="3"/>
        <v>0.59567821367807228</v>
      </c>
      <c r="F44">
        <f t="shared" si="4"/>
        <v>-7.2201920875596555</v>
      </c>
    </row>
    <row r="45" spans="1:6" x14ac:dyDescent="0.3">
      <c r="A45" s="4" t="s">
        <v>69</v>
      </c>
      <c r="B45" s="9">
        <v>0.99070000000000003</v>
      </c>
      <c r="C45" s="9">
        <f>INTERCEPT(F29:F31,G29:G31)</f>
        <v>9.2700993602934489E-2</v>
      </c>
      <c r="D45" s="9">
        <f>SLOPE(F29:F31,G29:G31)</f>
        <v>-0.44140943089535895</v>
      </c>
      <c r="E45" s="33">
        <f t="shared" si="3"/>
        <v>1.237943983888576</v>
      </c>
      <c r="F45">
        <f t="shared" si="4"/>
        <v>-2.2654704000582653</v>
      </c>
    </row>
    <row r="46" spans="1:6" x14ac:dyDescent="0.3">
      <c r="A46" s="1"/>
    </row>
  </sheetData>
  <mergeCells count="3">
    <mergeCell ref="A1:I1"/>
    <mergeCell ref="A2:I7"/>
    <mergeCell ref="A9:I9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65CAA-AC59-4291-BBC0-5FF7D94099E9}">
  <dimension ref="A1:P46"/>
  <sheetViews>
    <sheetView topLeftCell="A3" zoomScale="85" zoomScaleNormal="85" workbookViewId="0">
      <selection activeCell="D34" sqref="A10:D34"/>
    </sheetView>
  </sheetViews>
  <sheetFormatPr defaultRowHeight="14.4" x14ac:dyDescent="0.3"/>
  <cols>
    <col min="1" max="1" width="13.88671875" customWidth="1"/>
    <col min="4" max="4" width="11.6640625" customWidth="1"/>
    <col min="5" max="5" width="10.44140625" customWidth="1"/>
    <col min="6" max="6" width="10.33203125" customWidth="1"/>
    <col min="7" max="7" width="10.88671875" customWidth="1"/>
  </cols>
  <sheetData>
    <row r="1" spans="1:16" ht="15.6" x14ac:dyDescent="0.3">
      <c r="A1" s="62" t="s">
        <v>124</v>
      </c>
      <c r="B1" s="63"/>
      <c r="C1" s="63"/>
      <c r="D1" s="63"/>
      <c r="E1" s="63"/>
      <c r="F1" s="63"/>
      <c r="G1" s="63"/>
      <c r="H1" s="63"/>
      <c r="I1" s="64"/>
    </row>
    <row r="2" spans="1:16" x14ac:dyDescent="0.3">
      <c r="A2" s="65" t="e" vm="1">
        <v>#VALUE!</v>
      </c>
      <c r="B2" s="66"/>
      <c r="C2" s="66"/>
      <c r="D2" s="66"/>
      <c r="E2" s="66"/>
      <c r="F2" s="66"/>
      <c r="G2" s="66"/>
      <c r="H2" s="66"/>
      <c r="I2" s="67"/>
    </row>
    <row r="3" spans="1:16" x14ac:dyDescent="0.3">
      <c r="A3" s="68"/>
      <c r="B3" s="69"/>
      <c r="C3" s="69"/>
      <c r="D3" s="69"/>
      <c r="E3" s="69"/>
      <c r="F3" s="69"/>
      <c r="G3" s="69"/>
      <c r="H3" s="69"/>
      <c r="I3" s="70"/>
    </row>
    <row r="4" spans="1:16" x14ac:dyDescent="0.3">
      <c r="A4" s="68"/>
      <c r="B4" s="69"/>
      <c r="C4" s="69"/>
      <c r="D4" s="69"/>
      <c r="E4" s="69"/>
      <c r="F4" s="69"/>
      <c r="G4" s="69"/>
      <c r="H4" s="69"/>
      <c r="I4" s="70"/>
    </row>
    <row r="5" spans="1:16" x14ac:dyDescent="0.3">
      <c r="A5" s="68"/>
      <c r="B5" s="69"/>
      <c r="C5" s="69"/>
      <c r="D5" s="69"/>
      <c r="E5" s="69"/>
      <c r="F5" s="69"/>
      <c r="G5" s="69"/>
      <c r="H5" s="69"/>
      <c r="I5" s="70"/>
    </row>
    <row r="6" spans="1:16" x14ac:dyDescent="0.3">
      <c r="A6" s="68"/>
      <c r="B6" s="69"/>
      <c r="C6" s="69"/>
      <c r="D6" s="69"/>
      <c r="E6" s="69"/>
      <c r="F6" s="69"/>
      <c r="G6" s="69"/>
      <c r="H6" s="69"/>
      <c r="I6" s="70"/>
    </row>
    <row r="7" spans="1:16" x14ac:dyDescent="0.3">
      <c r="A7" s="71"/>
      <c r="B7" s="72"/>
      <c r="C7" s="72"/>
      <c r="D7" s="72"/>
      <c r="E7" s="72"/>
      <c r="F7" s="72"/>
      <c r="G7" s="72"/>
      <c r="H7" s="72"/>
      <c r="I7" s="73"/>
    </row>
    <row r="9" spans="1:16" x14ac:dyDescent="0.3">
      <c r="A9" s="74" t="s">
        <v>128</v>
      </c>
      <c r="B9" s="74"/>
      <c r="C9" s="74"/>
      <c r="D9" s="74"/>
      <c r="E9" s="74"/>
      <c r="F9" s="74"/>
      <c r="G9" s="74"/>
      <c r="H9" s="74"/>
      <c r="I9" s="74"/>
    </row>
    <row r="10" spans="1:16" ht="43.2" x14ac:dyDescent="0.3">
      <c r="A10" s="11" t="s">
        <v>127</v>
      </c>
      <c r="B10" s="11" t="s">
        <v>130</v>
      </c>
      <c r="C10" s="11" t="s">
        <v>51</v>
      </c>
      <c r="D10" s="11" t="s">
        <v>75</v>
      </c>
      <c r="E10" s="11" t="s">
        <v>131</v>
      </c>
      <c r="F10" s="11" t="s">
        <v>133</v>
      </c>
      <c r="G10" s="4" t="s">
        <v>129</v>
      </c>
      <c r="M10" s="11"/>
    </row>
    <row r="11" spans="1:16" x14ac:dyDescent="0.3">
      <c r="A11" s="9" t="s">
        <v>15</v>
      </c>
      <c r="B11" s="9">
        <v>5.01</v>
      </c>
      <c r="C11" s="9">
        <v>0.05</v>
      </c>
      <c r="D11" s="8">
        <v>20.35261865985759</v>
      </c>
      <c r="E11" s="7">
        <f>C11*($D$32-D11)/B11</f>
        <v>0.25282349651745223</v>
      </c>
      <c r="F11" s="7">
        <f>LOG(E11)</f>
        <v>-0.59718256672795145</v>
      </c>
      <c r="G11">
        <f>LOG(D11)</f>
        <v>1.3086202954462451</v>
      </c>
      <c r="M11" s="7"/>
      <c r="N11" s="7"/>
      <c r="O11" s="9"/>
      <c r="P11" s="9"/>
    </row>
    <row r="12" spans="1:16" x14ac:dyDescent="0.3">
      <c r="A12" s="9" t="s">
        <v>16</v>
      </c>
      <c r="B12" s="9">
        <v>5</v>
      </c>
      <c r="C12" s="9">
        <v>0.05</v>
      </c>
      <c r="D12" s="8">
        <v>20.116322529105481</v>
      </c>
      <c r="E12" s="7">
        <f t="shared" ref="E12:E31" si="0">C12*($D$32-D12)/B12</f>
        <v>0.25569210481800825</v>
      </c>
      <c r="F12" s="7">
        <f t="shared" ref="F12:F31" si="1">LOG(E12)</f>
        <v>-0.59228268177776833</v>
      </c>
      <c r="G12">
        <f t="shared" ref="G12:G30" si="2">LOG(D12)</f>
        <v>1.3035485901367923</v>
      </c>
    </row>
    <row r="13" spans="1:16" x14ac:dyDescent="0.3">
      <c r="A13" s="9" t="s">
        <v>17</v>
      </c>
      <c r="B13" s="9">
        <v>5.01</v>
      </c>
      <c r="C13" s="9">
        <v>0.05</v>
      </c>
      <c r="D13" s="8">
        <v>24.231813473037999</v>
      </c>
      <c r="E13" s="7">
        <f t="shared" si="0"/>
        <v>0.21410897742383542</v>
      </c>
      <c r="F13" s="7">
        <f t="shared" si="1"/>
        <v>-0.66936512269204229</v>
      </c>
      <c r="G13">
        <f t="shared" si="2"/>
        <v>1.3843859173096911</v>
      </c>
    </row>
    <row r="14" spans="1:16" x14ac:dyDescent="0.3">
      <c r="A14" s="9" t="s">
        <v>27</v>
      </c>
      <c r="B14" s="9">
        <v>5</v>
      </c>
      <c r="C14" s="9">
        <v>0.05</v>
      </c>
      <c r="D14" s="8">
        <v>23.818295244221812</v>
      </c>
      <c r="E14" s="7">
        <f t="shared" si="0"/>
        <v>0.21867237766684494</v>
      </c>
      <c r="F14" s="7">
        <f t="shared" si="1"/>
        <v>-0.66020607285859711</v>
      </c>
      <c r="G14">
        <f t="shared" si="2"/>
        <v>1.3769106743372677</v>
      </c>
      <c r="H14" s="9"/>
      <c r="I14" s="9"/>
    </row>
    <row r="15" spans="1:16" x14ac:dyDescent="0.3">
      <c r="A15" s="9" t="s">
        <v>28</v>
      </c>
      <c r="B15" s="9">
        <v>5.0199999999999996</v>
      </c>
      <c r="C15" s="9">
        <v>0.05</v>
      </c>
      <c r="D15" s="8">
        <v>20.903976298279169</v>
      </c>
      <c r="E15" s="7">
        <f t="shared" si="0"/>
        <v>0.24682825410983208</v>
      </c>
      <c r="F15" s="7">
        <f t="shared" si="1"/>
        <v>-0.60760512866770877</v>
      </c>
      <c r="G15">
        <f t="shared" si="2"/>
        <v>1.3202289043</v>
      </c>
    </row>
    <row r="16" spans="1:16" x14ac:dyDescent="0.3">
      <c r="A16" s="9" t="s">
        <v>29</v>
      </c>
      <c r="B16" s="9">
        <v>5.0199999999999996</v>
      </c>
      <c r="C16" s="9">
        <v>0.05</v>
      </c>
      <c r="D16" s="8">
        <v>22.715579967378652</v>
      </c>
      <c r="E16" s="7">
        <f t="shared" si="0"/>
        <v>0.2287843928638213</v>
      </c>
      <c r="F16" s="7">
        <f t="shared" si="1"/>
        <v>-0.64057360542231889</v>
      </c>
      <c r="G16">
        <f t="shared" si="2"/>
        <v>1.3563238295687292</v>
      </c>
    </row>
    <row r="17" spans="1:16" x14ac:dyDescent="0.3">
      <c r="A17" s="9" t="s">
        <v>30</v>
      </c>
      <c r="B17" s="9">
        <v>5</v>
      </c>
      <c r="C17" s="9">
        <v>0.05</v>
      </c>
      <c r="D17" s="8">
        <v>2.2562733130921253</v>
      </c>
      <c r="E17" s="7">
        <f t="shared" si="0"/>
        <v>0.43429259697814182</v>
      </c>
      <c r="F17" s="7">
        <f t="shared" si="1"/>
        <v>-0.36221757362866369</v>
      </c>
      <c r="G17">
        <f t="shared" si="2"/>
        <v>0.35339170664916081</v>
      </c>
    </row>
    <row r="18" spans="1:16" x14ac:dyDescent="0.3">
      <c r="A18" s="32" t="s">
        <v>31</v>
      </c>
      <c r="B18" s="32">
        <v>5.04</v>
      </c>
      <c r="C18" s="32">
        <v>0.05</v>
      </c>
      <c r="D18" s="8">
        <v>1.837832248218604</v>
      </c>
      <c r="E18" s="7">
        <f t="shared" si="0"/>
        <v>0.43499703137587009</v>
      </c>
      <c r="F18" s="7">
        <f t="shared" si="1"/>
        <v>-0.36151370686485162</v>
      </c>
      <c r="G18">
        <f t="shared" si="2"/>
        <v>0.26430586776945031</v>
      </c>
    </row>
    <row r="19" spans="1:16" x14ac:dyDescent="0.3">
      <c r="A19" s="9" t="s">
        <v>32</v>
      </c>
      <c r="B19" s="9">
        <v>4.9800000000000004</v>
      </c>
      <c r="C19" s="9">
        <v>0.05</v>
      </c>
      <c r="D19" s="8">
        <v>2.2267362967481121</v>
      </c>
      <c r="E19" s="7">
        <f t="shared" si="0"/>
        <v>0.4363333003429537</v>
      </c>
      <c r="F19" s="7">
        <f t="shared" si="1"/>
        <v>-0.36018164100513361</v>
      </c>
      <c r="G19">
        <f t="shared" si="2"/>
        <v>0.34766878836396975</v>
      </c>
    </row>
    <row r="20" spans="1:16" x14ac:dyDescent="0.3">
      <c r="A20" s="9" t="s">
        <v>33</v>
      </c>
      <c r="B20" s="9">
        <v>5.03</v>
      </c>
      <c r="C20" s="9">
        <v>0.05</v>
      </c>
      <c r="D20" s="8">
        <v>6.1650051426165486</v>
      </c>
      <c r="E20" s="7">
        <f t="shared" si="0"/>
        <v>0.39284818954562378</v>
      </c>
      <c r="F20" s="7">
        <f t="shared" si="1"/>
        <v>-0.40577524397551296</v>
      </c>
      <c r="G20">
        <f t="shared" si="2"/>
        <v>0.78993344320410375</v>
      </c>
    </row>
    <row r="21" spans="1:16" x14ac:dyDescent="0.3">
      <c r="A21" s="9" t="s">
        <v>34</v>
      </c>
      <c r="B21" s="9">
        <v>5.03</v>
      </c>
      <c r="C21" s="9">
        <v>0.05</v>
      </c>
      <c r="D21" s="8">
        <v>6.5194493387447068</v>
      </c>
      <c r="E21" s="7">
        <f t="shared" si="0"/>
        <v>0.38932488739723259</v>
      </c>
      <c r="F21" s="7">
        <f t="shared" si="1"/>
        <v>-0.4096878333385629</v>
      </c>
      <c r="G21">
        <f t="shared" si="2"/>
        <v>0.81421091486626385</v>
      </c>
    </row>
    <row r="22" spans="1:16" x14ac:dyDescent="0.3">
      <c r="A22" s="9" t="s">
        <v>35</v>
      </c>
      <c r="B22" s="9">
        <v>4.95</v>
      </c>
      <c r="C22" s="9">
        <v>0.05</v>
      </c>
      <c r="D22" s="8">
        <v>4.2057163917970009</v>
      </c>
      <c r="E22" s="7">
        <f t="shared" si="0"/>
        <v>0.4189880466576697</v>
      </c>
      <c r="F22" s="7">
        <f t="shared" si="1"/>
        <v>-0.37779836687777324</v>
      </c>
      <c r="G22">
        <f t="shared" si="2"/>
        <v>0.62383998313147304</v>
      </c>
    </row>
    <row r="23" spans="1:16" x14ac:dyDescent="0.3">
      <c r="A23" s="9" t="s">
        <v>36</v>
      </c>
      <c r="B23" s="9">
        <v>5.0599999999999996</v>
      </c>
      <c r="C23" s="9">
        <v>0.05</v>
      </c>
      <c r="D23" s="8">
        <v>5.4265797340162161</v>
      </c>
      <c r="E23" s="7">
        <f t="shared" si="0"/>
        <v>0.39781574384278751</v>
      </c>
      <c r="F23" s="7">
        <f t="shared" si="1"/>
        <v>-0.40031803335651533</v>
      </c>
      <c r="G23">
        <f t="shared" si="2"/>
        <v>0.73452618858423346</v>
      </c>
    </row>
    <row r="24" spans="1:16" x14ac:dyDescent="0.3">
      <c r="A24" s="9" t="s">
        <v>40</v>
      </c>
      <c r="B24" s="9">
        <v>4.93</v>
      </c>
      <c r="C24" s="9">
        <v>0.05</v>
      </c>
      <c r="D24" s="8">
        <v>4.9736788167413462</v>
      </c>
      <c r="E24" s="7">
        <f t="shared" si="0"/>
        <v>0.41289912975826532</v>
      </c>
      <c r="F24" s="7">
        <f t="shared" si="1"/>
        <v>-0.3841560324597168</v>
      </c>
      <c r="G24">
        <f t="shared" si="2"/>
        <v>0.69667773657914234</v>
      </c>
    </row>
    <row r="25" spans="1:16" x14ac:dyDescent="0.3">
      <c r="A25" s="9" t="s">
        <v>41</v>
      </c>
      <c r="B25" s="9">
        <v>5.01</v>
      </c>
      <c r="C25" s="9">
        <v>0.05</v>
      </c>
      <c r="D25" s="8">
        <v>3.3589885899352878</v>
      </c>
      <c r="E25" s="7">
        <f t="shared" si="0"/>
        <v>0.42242060300370282</v>
      </c>
      <c r="F25" s="7">
        <f t="shared" si="1"/>
        <v>-0.37425490782129101</v>
      </c>
      <c r="G25">
        <f t="shared" si="2"/>
        <v>0.52620852860005696</v>
      </c>
      <c r="N25" s="11"/>
      <c r="O25" s="11"/>
      <c r="P25" s="11"/>
    </row>
    <row r="26" spans="1:16" x14ac:dyDescent="0.3">
      <c r="A26" s="9" t="s">
        <v>37</v>
      </c>
      <c r="B26" s="9">
        <v>5</v>
      </c>
      <c r="C26" s="9">
        <v>0.05</v>
      </c>
      <c r="D26" s="8">
        <v>8.3408986799588583</v>
      </c>
      <c r="E26" s="7">
        <f t="shared" si="0"/>
        <v>0.37344634330947446</v>
      </c>
      <c r="F26" s="7">
        <f t="shared" si="1"/>
        <v>-0.42777178870428051</v>
      </c>
      <c r="G26">
        <f t="shared" si="2"/>
        <v>0.92121284568817274</v>
      </c>
      <c r="N26" s="9"/>
      <c r="O26" s="13"/>
      <c r="P26" s="7"/>
    </row>
    <row r="27" spans="1:16" x14ac:dyDescent="0.3">
      <c r="A27" s="9" t="s">
        <v>42</v>
      </c>
      <c r="B27" s="9">
        <v>5</v>
      </c>
      <c r="C27" s="9">
        <v>0.05</v>
      </c>
      <c r="D27" s="8">
        <v>10.024508611567615</v>
      </c>
      <c r="E27" s="7">
        <f t="shared" si="0"/>
        <v>0.35661024399338687</v>
      </c>
      <c r="F27" s="7">
        <f t="shared" si="1"/>
        <v>-0.4478061854290315</v>
      </c>
      <c r="G27">
        <f t="shared" si="2"/>
        <v>1.001063093260794</v>
      </c>
    </row>
    <row r="28" spans="1:16" x14ac:dyDescent="0.3">
      <c r="A28" s="9" t="s">
        <v>43</v>
      </c>
      <c r="B28" s="9">
        <v>5.0199999999999996</v>
      </c>
      <c r="C28" s="9">
        <v>0.05</v>
      </c>
      <c r="D28" s="8">
        <v>9.8275951692741934</v>
      </c>
      <c r="E28" s="7">
        <f t="shared" si="0"/>
        <v>0.3571507753150609</v>
      </c>
      <c r="F28" s="7">
        <f t="shared" si="1"/>
        <v>-0.44714840275717038</v>
      </c>
      <c r="G28">
        <f t="shared" si="2"/>
        <v>0.99244725816910506</v>
      </c>
    </row>
    <row r="29" spans="1:16" x14ac:dyDescent="0.3">
      <c r="A29" s="9" t="s">
        <v>38</v>
      </c>
      <c r="B29" s="9">
        <v>5.05</v>
      </c>
      <c r="C29" s="9">
        <v>0.05</v>
      </c>
      <c r="D29" s="8">
        <v>4.7669197023332535</v>
      </c>
      <c r="E29" s="7">
        <f t="shared" si="0"/>
        <v>0.40513478523339652</v>
      </c>
      <c r="F29" s="7">
        <f t="shared" si="1"/>
        <v>-0.39240046630457387</v>
      </c>
      <c r="G29">
        <f t="shared" si="2"/>
        <v>0.67823783639792756</v>
      </c>
    </row>
    <row r="30" spans="1:16" x14ac:dyDescent="0.3">
      <c r="A30" s="9" t="s">
        <v>44</v>
      </c>
      <c r="B30" s="9">
        <v>5.0599999999999996</v>
      </c>
      <c r="C30" s="9">
        <v>0.05</v>
      </c>
      <c r="D30" s="8">
        <v>5.9385546839791123</v>
      </c>
      <c r="E30" s="7">
        <f t="shared" si="0"/>
        <v>0.39275670283524894</v>
      </c>
      <c r="F30" s="7">
        <f t="shared" si="1"/>
        <v>-0.40587639450053697</v>
      </c>
      <c r="G30">
        <f t="shared" si="2"/>
        <v>0.77368075993915353</v>
      </c>
    </row>
    <row r="31" spans="1:16" x14ac:dyDescent="0.3">
      <c r="A31" s="9" t="s">
        <v>45</v>
      </c>
      <c r="B31" s="9">
        <v>5</v>
      </c>
      <c r="C31" s="9">
        <v>0.05</v>
      </c>
      <c r="D31" s="8">
        <v>5.5545734715069406</v>
      </c>
      <c r="E31" s="7">
        <f t="shared" si="0"/>
        <v>0.40130959539399369</v>
      </c>
      <c r="F31" s="7">
        <f t="shared" si="1"/>
        <v>-0.39652045607268221</v>
      </c>
      <c r="G31">
        <f>LOG(D31)</f>
        <v>0.74465071564720897</v>
      </c>
    </row>
    <row r="32" spans="1:16" x14ac:dyDescent="0.3">
      <c r="A32" s="9" t="s">
        <v>39</v>
      </c>
      <c r="B32" s="9">
        <v>0</v>
      </c>
      <c r="C32" s="9">
        <v>0.05</v>
      </c>
      <c r="D32" s="8">
        <v>45.685533010906305</v>
      </c>
      <c r="E32" s="7">
        <v>0</v>
      </c>
      <c r="F32" s="7"/>
    </row>
    <row r="33" spans="1:6" x14ac:dyDescent="0.3">
      <c r="A33" s="9" t="s">
        <v>46</v>
      </c>
      <c r="B33" s="9">
        <v>0</v>
      </c>
      <c r="C33" s="9">
        <v>0.05</v>
      </c>
      <c r="D33" s="8">
        <v>47.39867995885907</v>
      </c>
      <c r="E33" s="7">
        <v>0</v>
      </c>
      <c r="F33" s="7"/>
    </row>
    <row r="34" spans="1:6" x14ac:dyDescent="0.3">
      <c r="A34" s="9" t="s">
        <v>47</v>
      </c>
      <c r="B34" s="9">
        <v>0</v>
      </c>
      <c r="C34" s="9">
        <v>0.05</v>
      </c>
      <c r="D34" s="8">
        <v>46.020285862805117</v>
      </c>
      <c r="E34" s="7">
        <v>0</v>
      </c>
      <c r="F34" s="7"/>
    </row>
    <row r="37" spans="1:6" x14ac:dyDescent="0.3">
      <c r="C37" s="4" t="s">
        <v>56</v>
      </c>
      <c r="D37" s="4" t="s">
        <v>55</v>
      </c>
    </row>
    <row r="38" spans="1:6" x14ac:dyDescent="0.3">
      <c r="A38" s="4"/>
      <c r="B38" s="4" t="s">
        <v>132</v>
      </c>
      <c r="C38" s="1" t="s">
        <v>134</v>
      </c>
      <c r="D38" s="5" t="s">
        <v>137</v>
      </c>
      <c r="E38" s="4" t="s">
        <v>136</v>
      </c>
      <c r="F38" s="4" t="s">
        <v>135</v>
      </c>
    </row>
    <row r="39" spans="1:6" x14ac:dyDescent="0.3">
      <c r="A39" s="4" t="s">
        <v>63</v>
      </c>
      <c r="B39" s="9">
        <v>1</v>
      </c>
      <c r="C39" s="9">
        <f>INTERCEPT(F11:F13,G11:G13)</f>
        <v>0.65020678813163635</v>
      </c>
      <c r="D39" s="9">
        <f>SLOPE(F11:F13,G11:G13)</f>
        <v>-0.95318366029545487</v>
      </c>
      <c r="E39" s="33">
        <f>10^C39</f>
        <v>4.46896329966859</v>
      </c>
      <c r="F39">
        <f>1/D39</f>
        <v>-1.0491157598001981</v>
      </c>
    </row>
    <row r="40" spans="1:6" x14ac:dyDescent="0.3">
      <c r="A40" s="4" t="s">
        <v>64</v>
      </c>
      <c r="B40" s="9">
        <v>0.99990000000000001</v>
      </c>
      <c r="C40" s="9">
        <f>INTERCEPT(F14:F16,G14:G16)</f>
        <v>0.61551041435033915</v>
      </c>
      <c r="D40" s="9">
        <f>SLOPE(F14:F16,G14:G16)</f>
        <v>-0.9263475876945223</v>
      </c>
      <c r="E40" s="33">
        <f t="shared" ref="E40:E45" si="3">10^C40</f>
        <v>4.1258213068781977</v>
      </c>
      <c r="F40">
        <f t="shared" ref="F40:F45" si="4">1/D40</f>
        <v>-1.0795083975862478</v>
      </c>
    </row>
    <row r="41" spans="1:6" x14ac:dyDescent="0.3">
      <c r="A41" s="4" t="s">
        <v>65</v>
      </c>
      <c r="B41" s="9">
        <v>1.41E-2</v>
      </c>
      <c r="C41" s="9">
        <f>INTERCEPT(F17:F19,G17:G19)</f>
        <v>-0.36209568244581053</v>
      </c>
      <c r="D41" s="9">
        <f>SLOPE(F17:F19,G17:G19)</f>
        <v>2.4593003550895504E-3</v>
      </c>
      <c r="E41" s="33">
        <f t="shared" si="3"/>
        <v>0.43441450473877241</v>
      </c>
      <c r="F41">
        <f>1/D41</f>
        <v>406.61971114284131</v>
      </c>
    </row>
    <row r="42" spans="1:6" x14ac:dyDescent="0.3">
      <c r="A42" s="4" t="s">
        <v>66</v>
      </c>
      <c r="B42" s="9">
        <v>1</v>
      </c>
      <c r="C42" s="9">
        <f>INTERCEPT(F20:F22,G20:G22)</f>
        <v>-0.27309682256657564</v>
      </c>
      <c r="D42" s="9">
        <f>SLOPE(F17:F19,G17:G19)</f>
        <v>2.4593003550895504E-3</v>
      </c>
      <c r="E42" s="33">
        <f t="shared" si="3"/>
        <v>0.53321600588675111</v>
      </c>
      <c r="F42">
        <f t="shared" si="4"/>
        <v>406.61971114284131</v>
      </c>
    </row>
    <row r="43" spans="1:6" x14ac:dyDescent="0.3">
      <c r="A43" s="4" t="s">
        <v>67</v>
      </c>
      <c r="B43" s="9">
        <v>0.77849999999999997</v>
      </c>
      <c r="C43" s="9">
        <f>INTERCEPT(F23:F25,G23:G25)</f>
        <v>-0.31799264128950677</v>
      </c>
      <c r="D43" s="9">
        <f>SLOPE(F23:F25,G23:G25)</f>
        <v>-0.10460291563759928</v>
      </c>
      <c r="E43" s="33">
        <f t="shared" si="3"/>
        <v>0.48084749588812264</v>
      </c>
      <c r="F43">
        <f t="shared" si="4"/>
        <v>-9.5599629695269428</v>
      </c>
    </row>
    <row r="44" spans="1:6" x14ac:dyDescent="0.3">
      <c r="A44" s="4" t="s">
        <v>68</v>
      </c>
      <c r="B44" s="9">
        <v>0.99519999999999997</v>
      </c>
      <c r="C44" s="9">
        <f>INTERCEPT(F26:F28,G26:G28)</f>
        <v>-0.18920190751121291</v>
      </c>
      <c r="D44" s="9">
        <f>SLOPE(F26:F28,G26:G28)</f>
        <v>-0.2590711375623827</v>
      </c>
      <c r="E44" s="33">
        <f t="shared" si="3"/>
        <v>0.6468418231023747</v>
      </c>
      <c r="F44">
        <f t="shared" si="4"/>
        <v>-3.859943679597293</v>
      </c>
    </row>
    <row r="45" spans="1:6" x14ac:dyDescent="0.3">
      <c r="A45" s="4" t="s">
        <v>69</v>
      </c>
      <c r="B45" s="9">
        <v>0.81620000000000004</v>
      </c>
      <c r="C45" s="9">
        <f>INTERCEPT(F29:F31,G29:G31)</f>
        <v>-0.3049037741339507</v>
      </c>
      <c r="D45" s="9">
        <f>SLOPE(F29:F31,G29:G31)</f>
        <v>-0.12751065625282856</v>
      </c>
      <c r="E45" s="33">
        <f t="shared" si="3"/>
        <v>0.49555997899625498</v>
      </c>
      <c r="F45">
        <f t="shared" si="4"/>
        <v>-7.8424817924017001</v>
      </c>
    </row>
    <row r="46" spans="1:6" x14ac:dyDescent="0.3">
      <c r="A46" s="9"/>
      <c r="B46" s="9"/>
      <c r="C46" s="9"/>
      <c r="D46" s="9"/>
    </row>
  </sheetData>
  <mergeCells count="3">
    <mergeCell ref="A1:I1"/>
    <mergeCell ref="A2:I7"/>
    <mergeCell ref="A9:I9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7B4E1-5067-4AB3-B2A2-776DE767A6FF}">
  <dimension ref="A1:P53"/>
  <sheetViews>
    <sheetView zoomScale="85" zoomScaleNormal="85" workbookViewId="0">
      <selection activeCell="A17" sqref="A17:C24"/>
    </sheetView>
  </sheetViews>
  <sheetFormatPr defaultRowHeight="14.4" x14ac:dyDescent="0.3"/>
  <cols>
    <col min="1" max="1" width="13.88671875" customWidth="1"/>
    <col min="4" max="4" width="11.6640625" customWidth="1"/>
    <col min="5" max="5" width="10.44140625" customWidth="1"/>
    <col min="6" max="6" width="10.33203125" customWidth="1"/>
    <col min="7" max="7" width="10.88671875" customWidth="1"/>
  </cols>
  <sheetData>
    <row r="1" spans="1:16" ht="15.6" x14ac:dyDescent="0.3">
      <c r="A1" s="75" t="s">
        <v>138</v>
      </c>
      <c r="B1" s="76"/>
      <c r="C1" s="76"/>
      <c r="D1" s="76"/>
      <c r="E1" s="76"/>
      <c r="F1" s="76"/>
      <c r="G1" s="76"/>
      <c r="H1" s="76"/>
      <c r="I1" s="77"/>
    </row>
    <row r="2" spans="1:16" x14ac:dyDescent="0.3">
      <c r="A2" s="65" t="e" vm="2">
        <v>#VALUE!</v>
      </c>
      <c r="B2" s="66"/>
      <c r="C2" s="66"/>
      <c r="D2" s="66"/>
      <c r="E2" s="66"/>
      <c r="F2" s="66"/>
      <c r="G2" s="66"/>
      <c r="H2" s="66"/>
      <c r="I2" s="67"/>
    </row>
    <row r="3" spans="1:16" x14ac:dyDescent="0.3">
      <c r="A3" s="68"/>
      <c r="B3" s="69"/>
      <c r="C3" s="69"/>
      <c r="D3" s="69"/>
      <c r="E3" s="69"/>
      <c r="F3" s="69"/>
      <c r="G3" s="69"/>
      <c r="H3" s="69"/>
      <c r="I3" s="70"/>
    </row>
    <row r="4" spans="1:16" x14ac:dyDescent="0.3">
      <c r="A4" s="68"/>
      <c r="B4" s="69"/>
      <c r="C4" s="69"/>
      <c r="D4" s="69"/>
      <c r="E4" s="69"/>
      <c r="F4" s="69"/>
      <c r="G4" s="69"/>
      <c r="H4" s="69"/>
      <c r="I4" s="70"/>
    </row>
    <row r="5" spans="1:16" x14ac:dyDescent="0.3">
      <c r="A5" s="68"/>
      <c r="B5" s="69"/>
      <c r="C5" s="69"/>
      <c r="D5" s="69"/>
      <c r="E5" s="69"/>
      <c r="F5" s="69"/>
      <c r="G5" s="69"/>
      <c r="H5" s="69"/>
      <c r="I5" s="70"/>
    </row>
    <row r="6" spans="1:16" x14ac:dyDescent="0.3">
      <c r="A6" s="68"/>
      <c r="B6" s="69"/>
      <c r="C6" s="69"/>
      <c r="D6" s="69"/>
      <c r="E6" s="69"/>
      <c r="F6" s="69"/>
      <c r="G6" s="69"/>
      <c r="H6" s="69"/>
      <c r="I6" s="70"/>
    </row>
    <row r="7" spans="1:16" x14ac:dyDescent="0.3">
      <c r="A7" s="68"/>
      <c r="B7" s="69"/>
      <c r="C7" s="69"/>
      <c r="D7" s="69"/>
      <c r="E7" s="69"/>
      <c r="F7" s="69"/>
      <c r="G7" s="69"/>
      <c r="H7" s="69"/>
      <c r="I7" s="70"/>
    </row>
    <row r="8" spans="1:16" x14ac:dyDescent="0.3">
      <c r="A8" s="68"/>
      <c r="B8" s="69"/>
      <c r="C8" s="69"/>
      <c r="D8" s="69"/>
      <c r="E8" s="69"/>
      <c r="F8" s="69"/>
      <c r="G8" s="69"/>
      <c r="H8" s="69"/>
      <c r="I8" s="70"/>
    </row>
    <row r="9" spans="1:16" x14ac:dyDescent="0.3">
      <c r="A9" s="68"/>
      <c r="B9" s="69"/>
      <c r="C9" s="69"/>
      <c r="D9" s="69"/>
      <c r="E9" s="69"/>
      <c r="F9" s="69"/>
      <c r="G9" s="69"/>
      <c r="H9" s="69"/>
      <c r="I9" s="70"/>
    </row>
    <row r="10" spans="1:16" x14ac:dyDescent="0.3">
      <c r="A10" s="68"/>
      <c r="B10" s="69"/>
      <c r="C10" s="69"/>
      <c r="D10" s="69"/>
      <c r="E10" s="69"/>
      <c r="F10" s="69"/>
      <c r="G10" s="69"/>
      <c r="H10" s="69"/>
      <c r="I10" s="70"/>
      <c r="M10" s="11"/>
    </row>
    <row r="11" spans="1:16" x14ac:dyDescent="0.3">
      <c r="A11" s="68"/>
      <c r="B11" s="69"/>
      <c r="C11" s="69"/>
      <c r="D11" s="69"/>
      <c r="E11" s="69"/>
      <c r="F11" s="69"/>
      <c r="G11" s="69"/>
      <c r="H11" s="69"/>
      <c r="I11" s="70"/>
      <c r="M11" s="7"/>
      <c r="N11" s="7"/>
      <c r="O11" s="9"/>
      <c r="P11" s="9"/>
    </row>
    <row r="12" spans="1:16" x14ac:dyDescent="0.3">
      <c r="A12" s="68"/>
      <c r="B12" s="69"/>
      <c r="C12" s="69"/>
      <c r="D12" s="69"/>
      <c r="E12" s="69"/>
      <c r="F12" s="69"/>
      <c r="G12" s="69"/>
      <c r="H12" s="69"/>
      <c r="I12" s="70"/>
    </row>
    <row r="13" spans="1:16" x14ac:dyDescent="0.3">
      <c r="A13" s="68"/>
      <c r="B13" s="69"/>
      <c r="C13" s="69"/>
      <c r="D13" s="69"/>
      <c r="E13" s="69"/>
      <c r="F13" s="69"/>
      <c r="G13" s="69"/>
      <c r="H13" s="69"/>
      <c r="I13" s="70"/>
    </row>
    <row r="14" spans="1:16" x14ac:dyDescent="0.3">
      <c r="A14" s="71"/>
      <c r="B14" s="72"/>
      <c r="C14" s="72"/>
      <c r="D14" s="72"/>
      <c r="E14" s="72"/>
      <c r="F14" s="72"/>
      <c r="G14" s="72"/>
      <c r="H14" s="72"/>
      <c r="I14" s="73"/>
    </row>
    <row r="16" spans="1:16" x14ac:dyDescent="0.3">
      <c r="A16" s="74" t="s">
        <v>128</v>
      </c>
      <c r="B16" s="74"/>
      <c r="C16" s="74"/>
      <c r="D16" s="74"/>
      <c r="E16" s="74"/>
      <c r="F16" s="74"/>
      <c r="G16" s="74"/>
      <c r="H16" s="74"/>
      <c r="I16" s="74"/>
    </row>
    <row r="17" spans="1:16" ht="57.6" x14ac:dyDescent="0.3">
      <c r="A17" s="11" t="s">
        <v>127</v>
      </c>
      <c r="B17" s="11" t="s">
        <v>130</v>
      </c>
      <c r="C17" s="11" t="s">
        <v>51</v>
      </c>
      <c r="D17" s="11" t="s">
        <v>140</v>
      </c>
      <c r="E17" s="11" t="s">
        <v>139</v>
      </c>
      <c r="F17" s="11"/>
      <c r="G17" s="4"/>
    </row>
    <row r="18" spans="1:16" x14ac:dyDescent="0.3">
      <c r="A18" s="9" t="s">
        <v>15</v>
      </c>
      <c r="B18" s="9">
        <v>5.01</v>
      </c>
      <c r="C18" s="9">
        <v>0.05</v>
      </c>
      <c r="D18" s="31">
        <f>1/39.51</f>
        <v>2.5310048089091371E-2</v>
      </c>
      <c r="E18" s="7">
        <f>1/C18*($D$39-D18)/B18</f>
        <v>210.33525238251556</v>
      </c>
      <c r="F18" s="7"/>
    </row>
    <row r="19" spans="1:16" x14ac:dyDescent="0.3">
      <c r="A19" s="9" t="s">
        <v>16</v>
      </c>
      <c r="B19" s="9">
        <v>5</v>
      </c>
      <c r="C19" s="9">
        <v>0.05</v>
      </c>
      <c r="D19" s="31">
        <f>1/39.6519279036974</f>
        <v>2.5219454711727991E-2</v>
      </c>
      <c r="E19" s="7">
        <f t="shared" ref="E19:E38" si="0">1/C19*($D$39-D19)/B19</f>
        <v>210.75628526078998</v>
      </c>
      <c r="F19" s="7"/>
    </row>
    <row r="20" spans="1:16" x14ac:dyDescent="0.3">
      <c r="A20" s="9" t="s">
        <v>17</v>
      </c>
      <c r="B20" s="9">
        <v>5.01</v>
      </c>
      <c r="C20" s="9">
        <v>0.05</v>
      </c>
      <c r="D20" s="31">
        <f>1/27.0074304054532</f>
        <v>3.7026847241197931E-2</v>
      </c>
      <c r="E20" s="7">
        <f t="shared" si="0"/>
        <v>210.28847873320572</v>
      </c>
      <c r="F20" s="7"/>
    </row>
    <row r="21" spans="1:16" x14ac:dyDescent="0.3">
      <c r="A21" s="9" t="s">
        <v>27</v>
      </c>
      <c r="B21" s="9">
        <v>5.05</v>
      </c>
      <c r="C21" s="9">
        <v>0.05</v>
      </c>
      <c r="D21" s="31">
        <f>1/58.341906180072</f>
        <v>1.7140338145851884E-2</v>
      </c>
      <c r="E21" s="7">
        <f>1/C21*($D$41-D21)/B21</f>
        <v>310.7640326507568</v>
      </c>
      <c r="F21" s="7"/>
      <c r="H21" s="9"/>
      <c r="I21" s="9"/>
    </row>
    <row r="22" spans="1:16" x14ac:dyDescent="0.3">
      <c r="A22" s="9" t="s">
        <v>28</v>
      </c>
      <c r="B22" s="9">
        <v>5.05</v>
      </c>
      <c r="C22" s="9">
        <v>0.05</v>
      </c>
      <c r="D22" s="31">
        <f>1/36.9276627774662</f>
        <v>2.7079969995019954E-2</v>
      </c>
      <c r="E22" s="7">
        <f t="shared" si="0"/>
        <v>208.66222098975928</v>
      </c>
      <c r="F22" s="7"/>
    </row>
    <row r="23" spans="1:16" x14ac:dyDescent="0.3">
      <c r="A23" s="9" t="s">
        <v>29</v>
      </c>
      <c r="B23" s="9">
        <v>5.01</v>
      </c>
      <c r="C23" s="9">
        <v>0.05</v>
      </c>
      <c r="D23" s="31">
        <f>1/36.4501023569317</f>
        <v>2.7434765208823354E-2</v>
      </c>
      <c r="E23" s="7">
        <f t="shared" si="0"/>
        <v>210.32677047784594</v>
      </c>
      <c r="F23" s="7"/>
    </row>
    <row r="24" spans="1:16" x14ac:dyDescent="0.3">
      <c r="A24" s="9" t="s">
        <v>30</v>
      </c>
      <c r="B24" s="9">
        <v>5</v>
      </c>
      <c r="C24" s="9">
        <v>0.05</v>
      </c>
      <c r="D24" s="31">
        <f>1/6.24440575812186</f>
        <v>0.16014334089346102</v>
      </c>
      <c r="E24" s="7">
        <f t="shared" si="0"/>
        <v>210.21658971606308</v>
      </c>
      <c r="F24" s="7"/>
    </row>
    <row r="25" spans="1:16" x14ac:dyDescent="0.3">
      <c r="A25" s="32" t="s">
        <v>31</v>
      </c>
      <c r="B25" s="9">
        <v>5.0599999999999996</v>
      </c>
      <c r="C25" s="32">
        <v>0.05</v>
      </c>
      <c r="D25" s="31">
        <f>1/4.86599272612443</f>
        <v>0.20550791098211529</v>
      </c>
      <c r="E25" s="7">
        <f t="shared" si="0"/>
        <v>207.54459628034436</v>
      </c>
      <c r="F25" s="7"/>
      <c r="N25" s="11"/>
      <c r="O25" s="11"/>
      <c r="P25" s="11"/>
    </row>
    <row r="26" spans="1:16" x14ac:dyDescent="0.3">
      <c r="A26" s="9" t="s">
        <v>32</v>
      </c>
      <c r="B26" s="9">
        <v>5.01</v>
      </c>
      <c r="C26" s="9">
        <v>0.05</v>
      </c>
      <c r="D26" s="31">
        <f>1/20.245608996521</f>
        <v>4.9393426504079956E-2</v>
      </c>
      <c r="E26" s="7">
        <f t="shared" si="0"/>
        <v>210.23911115131799</v>
      </c>
      <c r="F26" s="7"/>
      <c r="N26" s="9"/>
      <c r="O26" s="13"/>
      <c r="P26" s="7"/>
    </row>
    <row r="27" spans="1:16" x14ac:dyDescent="0.3">
      <c r="A27" s="9" t="s">
        <v>33</v>
      </c>
      <c r="B27" s="9">
        <v>5.01</v>
      </c>
      <c r="C27" s="9">
        <v>0.05</v>
      </c>
      <c r="D27" s="31">
        <f>1/1.84867916001982</f>
        <v>0.54092674468688162</v>
      </c>
      <c r="E27" s="7">
        <f t="shared" si="0"/>
        <v>208.27690229629681</v>
      </c>
      <c r="F27" s="7"/>
    </row>
    <row r="28" spans="1:16" x14ac:dyDescent="0.3">
      <c r="A28" s="9" t="s">
        <v>34</v>
      </c>
      <c r="B28" s="9">
        <v>5.01</v>
      </c>
      <c r="C28" s="9">
        <v>0.05</v>
      </c>
      <c r="D28" s="31">
        <f>1/2.79294635516766</f>
        <v>0.3580448289490939</v>
      </c>
      <c r="E28" s="7">
        <f t="shared" si="0"/>
        <v>209.00696982419217</v>
      </c>
      <c r="F28" s="7"/>
    </row>
    <row r="29" spans="1:16" x14ac:dyDescent="0.3">
      <c r="A29" s="9" t="s">
        <v>35</v>
      </c>
      <c r="B29" s="9">
        <v>5.05</v>
      </c>
      <c r="C29" s="9">
        <v>0.05</v>
      </c>
      <c r="D29" s="31">
        <f>1/2.97745833582874</f>
        <v>0.33585692466848976</v>
      </c>
      <c r="E29" s="7">
        <f t="shared" si="0"/>
        <v>207.43934196134947</v>
      </c>
      <c r="F29" s="7"/>
    </row>
    <row r="30" spans="1:16" x14ac:dyDescent="0.3">
      <c r="A30" s="9" t="s">
        <v>36</v>
      </c>
      <c r="B30" s="9">
        <v>5.0599999999999996</v>
      </c>
      <c r="C30" s="9">
        <v>0.05</v>
      </c>
      <c r="D30" s="31">
        <f>1/8.07867191881135</f>
        <v>0.12378272196838194</v>
      </c>
      <c r="E30" s="7">
        <f t="shared" si="0"/>
        <v>207.86762074284923</v>
      </c>
      <c r="F30" s="7"/>
    </row>
    <row r="31" spans="1:16" x14ac:dyDescent="0.3">
      <c r="A31" s="9" t="s">
        <v>40</v>
      </c>
      <c r="B31" s="9">
        <v>5.03</v>
      </c>
      <c r="C31" s="9">
        <v>0.05</v>
      </c>
      <c r="D31" s="31">
        <f>1/11.3998875707107</f>
        <v>8.7720163361019649E-2</v>
      </c>
      <c r="E31" s="7">
        <f t="shared" si="0"/>
        <v>209.25077775963504</v>
      </c>
      <c r="F31" s="7"/>
    </row>
    <row r="32" spans="1:16" x14ac:dyDescent="0.3">
      <c r="A32" s="9" t="s">
        <v>41</v>
      </c>
      <c r="B32" s="9">
        <v>5</v>
      </c>
      <c r="C32" s="9">
        <v>0.05</v>
      </c>
      <c r="D32" s="31">
        <f>1/23.4257272514442</f>
        <v>4.2688109071975545E-2</v>
      </c>
      <c r="E32" s="7">
        <f t="shared" si="0"/>
        <v>210.68641064334901</v>
      </c>
      <c r="F32" s="7"/>
    </row>
    <row r="33" spans="1:7" x14ac:dyDescent="0.3">
      <c r="A33" s="9" t="s">
        <v>37</v>
      </c>
      <c r="B33" s="9">
        <v>5.0199999999999996</v>
      </c>
      <c r="C33" s="9">
        <v>0.05</v>
      </c>
      <c r="D33" s="31">
        <f>1/6.90105133635685</f>
        <v>0.14490545733686896</v>
      </c>
      <c r="E33" s="7">
        <f t="shared" si="0"/>
        <v>209.43978212180227</v>
      </c>
      <c r="F33" s="7"/>
    </row>
    <row r="34" spans="1:7" x14ac:dyDescent="0.3">
      <c r="A34" s="9" t="s">
        <v>42</v>
      </c>
      <c r="B34" s="9">
        <v>5.03</v>
      </c>
      <c r="C34" s="9">
        <v>0.05</v>
      </c>
      <c r="D34" s="31">
        <f>1/6.92818545115995</f>
        <v>0.14433793769659778</v>
      </c>
      <c r="E34" s="7">
        <f t="shared" si="0"/>
        <v>209.02565738454325</v>
      </c>
      <c r="F34" s="7"/>
    </row>
    <row r="35" spans="1:7" x14ac:dyDescent="0.3">
      <c r="A35" s="9" t="s">
        <v>43</v>
      </c>
      <c r="B35" s="9">
        <v>5.01</v>
      </c>
      <c r="C35" s="9">
        <v>0.05</v>
      </c>
      <c r="D35" s="31">
        <f>1/7.82361123966222</f>
        <v>0.12781821199530544</v>
      </c>
      <c r="E35" s="7">
        <f t="shared" si="0"/>
        <v>209.92603815534505</v>
      </c>
      <c r="F35" s="7"/>
    </row>
    <row r="36" spans="1:7" x14ac:dyDescent="0.3">
      <c r="A36" s="9" t="s">
        <v>38</v>
      </c>
      <c r="B36" s="9">
        <v>5.03</v>
      </c>
      <c r="C36" s="9">
        <v>0.05</v>
      </c>
      <c r="D36" s="31">
        <f>1/14.2978110316816</f>
        <v>6.9940776093918453E-2</v>
      </c>
      <c r="E36" s="7">
        <f t="shared" si="0"/>
        <v>209.32147114837105</v>
      </c>
      <c r="F36" s="7"/>
    </row>
    <row r="37" spans="1:7" x14ac:dyDescent="0.3">
      <c r="A37" s="9" t="s">
        <v>44</v>
      </c>
      <c r="B37" s="9">
        <v>5.0199999999999996</v>
      </c>
      <c r="C37" s="9">
        <v>0.05</v>
      </c>
      <c r="D37" s="31">
        <f>1/15.5242730207817</f>
        <v>6.4415254657099977E-2</v>
      </c>
      <c r="E37" s="7">
        <f t="shared" si="0"/>
        <v>209.76046022012804</v>
      </c>
      <c r="F37" s="7"/>
    </row>
    <row r="38" spans="1:7" x14ac:dyDescent="0.3">
      <c r="A38" s="9" t="s">
        <v>45</v>
      </c>
      <c r="B38" s="9">
        <v>5.05</v>
      </c>
      <c r="C38" s="9">
        <v>0.05</v>
      </c>
      <c r="D38" s="31">
        <f>1/16.7832959476455</f>
        <v>5.9583052287193232E-2</v>
      </c>
      <c r="E38" s="7">
        <f t="shared" si="0"/>
        <v>208.53349591137439</v>
      </c>
      <c r="F38" s="7"/>
    </row>
    <row r="39" spans="1:7" x14ac:dyDescent="0.3">
      <c r="A39" s="9" t="s">
        <v>39</v>
      </c>
      <c r="B39" s="9">
        <v>0</v>
      </c>
      <c r="C39" s="9">
        <v>0.05</v>
      </c>
      <c r="D39" s="8">
        <v>52.714290769909233</v>
      </c>
      <c r="E39" s="7">
        <v>0</v>
      </c>
      <c r="F39" s="7"/>
    </row>
    <row r="40" spans="1:7" x14ac:dyDescent="0.3">
      <c r="A40" s="9" t="s">
        <v>46</v>
      </c>
      <c r="B40" s="9">
        <v>0</v>
      </c>
      <c r="C40" s="9">
        <v>0.05</v>
      </c>
      <c r="D40" s="8">
        <v>50.603256638228139</v>
      </c>
      <c r="E40" s="7">
        <v>0</v>
      </c>
      <c r="F40" s="7"/>
    </row>
    <row r="41" spans="1:7" x14ac:dyDescent="0.3">
      <c r="A41" s="9" t="s">
        <v>47</v>
      </c>
      <c r="B41" s="9">
        <v>0</v>
      </c>
      <c r="C41" s="9">
        <v>0.05</v>
      </c>
      <c r="D41" s="8">
        <v>78.485058582461946</v>
      </c>
      <c r="E41" s="7">
        <v>0</v>
      </c>
      <c r="F41" s="7"/>
    </row>
    <row r="44" spans="1:7" x14ac:dyDescent="0.3">
      <c r="C44" s="4" t="s">
        <v>56</v>
      </c>
      <c r="D44" s="4" t="s">
        <v>55</v>
      </c>
    </row>
    <row r="45" spans="1:7" x14ac:dyDescent="0.3">
      <c r="A45" s="4"/>
      <c r="B45" s="4" t="s">
        <v>132</v>
      </c>
      <c r="C45" s="4" t="s">
        <v>141</v>
      </c>
      <c r="D45" s="4" t="s">
        <v>142</v>
      </c>
      <c r="E45" s="4" t="s">
        <v>143</v>
      </c>
      <c r="F45" s="4" t="s">
        <v>144</v>
      </c>
      <c r="G45" s="4"/>
    </row>
    <row r="46" spans="1:7" x14ac:dyDescent="0.3">
      <c r="A46" s="4" t="s">
        <v>63</v>
      </c>
      <c r="B46" s="9">
        <v>0.3387</v>
      </c>
      <c r="C46" s="9">
        <f>INTERCEPT(E18:E20,D18:D20)</f>
        <v>211.10442912695584</v>
      </c>
      <c r="D46" s="9">
        <f>SLOPE(E18:E20,D18:D20)</f>
        <v>-22.080306036382076</v>
      </c>
      <c r="E46" s="33">
        <f>1/C46</f>
        <v>4.7369920381850972E-3</v>
      </c>
      <c r="F46">
        <f>1/D46</f>
        <v>-4.5289227348220801E-2</v>
      </c>
    </row>
    <row r="47" spans="1:7" x14ac:dyDescent="0.3">
      <c r="A47" s="4" t="s">
        <v>64</v>
      </c>
      <c r="B47" s="9">
        <v>0.998</v>
      </c>
      <c r="C47" s="9">
        <f>INTERCEPT(E21:E23,D21:D23)</f>
        <v>482.01196171199297</v>
      </c>
      <c r="D47" s="9">
        <f>SLOPE(E21:E23,D21:D23)</f>
        <v>-9996.2616397302718</v>
      </c>
      <c r="E47" s="33">
        <f t="shared" ref="E47:E52" si="1">1/C47</f>
        <v>2.0746373107593335E-3</v>
      </c>
      <c r="F47">
        <f t="shared" ref="F47:F52" si="2">1/D47</f>
        <v>-1.0003739758326123E-4</v>
      </c>
    </row>
    <row r="48" spans="1:7" x14ac:dyDescent="0.3">
      <c r="A48" s="4" t="s">
        <v>65</v>
      </c>
      <c r="B48" s="9">
        <v>0.53180000000000005</v>
      </c>
      <c r="C48" s="9">
        <f>INTERCEPT(E24:E26,D24:D26)</f>
        <v>211.27970280441508</v>
      </c>
      <c r="D48" s="9">
        <f>SLOPE(E24:E26,D24:D26)</f>
        <v>-14.067910202618883</v>
      </c>
      <c r="E48" s="33">
        <f t="shared" si="1"/>
        <v>4.7330623184647109E-3</v>
      </c>
      <c r="F48">
        <f t="shared" si="2"/>
        <v>-7.1083763373314679E-2</v>
      </c>
    </row>
    <row r="49" spans="1:6" x14ac:dyDescent="0.3">
      <c r="A49" s="4" t="s">
        <v>66</v>
      </c>
      <c r="B49" s="9">
        <v>1.9E-2</v>
      </c>
      <c r="C49" s="9">
        <f>INTERCEPT(E27:E29,D27:D29)</f>
        <v>207.8455334586086</v>
      </c>
      <c r="D49" s="9">
        <f>SLOPE(E27:E29,D27:D29)</f>
        <v>0.96095426016002172</v>
      </c>
      <c r="E49" s="33">
        <f t="shared" si="1"/>
        <v>4.8112652860983658E-3</v>
      </c>
      <c r="F49">
        <f t="shared" si="2"/>
        <v>1.0406322563505532</v>
      </c>
    </row>
    <row r="50" spans="1:6" x14ac:dyDescent="0.3">
      <c r="A50" s="4" t="s">
        <v>67</v>
      </c>
      <c r="B50" s="9">
        <v>0.99719999999999998</v>
      </c>
      <c r="C50" s="9">
        <f>INTERCEPT(E30:E32,D30:D32)</f>
        <v>212.20348663555558</v>
      </c>
      <c r="D50" s="9">
        <f>SLOPE(E30:E32,D30:D32)</f>
        <v>-34.641867551487245</v>
      </c>
      <c r="E50" s="33">
        <f t="shared" si="1"/>
        <v>4.7124579141219723E-3</v>
      </c>
      <c r="F50">
        <f t="shared" si="2"/>
        <v>-2.8866803976827397E-2</v>
      </c>
    </row>
    <row r="51" spans="1:6" x14ac:dyDescent="0.3">
      <c r="A51" s="4" t="s">
        <v>68</v>
      </c>
      <c r="B51" s="9">
        <v>0.76459999999999995</v>
      </c>
      <c r="C51" s="9">
        <f>INTERCEPT(E33:E35,D33:D35)</f>
        <v>215.10825207988717</v>
      </c>
      <c r="D51" s="9">
        <f>SLOPE(E33:E35,D33:D35)</f>
        <v>-40.60138428614146</v>
      </c>
      <c r="E51" s="33">
        <f t="shared" si="1"/>
        <v>4.6488221178451992E-3</v>
      </c>
      <c r="F51">
        <f t="shared" si="2"/>
        <v>-2.4629702104549466E-2</v>
      </c>
    </row>
    <row r="52" spans="1:6" x14ac:dyDescent="0.3">
      <c r="A52" s="4" t="s">
        <v>69</v>
      </c>
      <c r="B52" s="9">
        <v>0.36409999999999998</v>
      </c>
      <c r="C52" s="9">
        <f>INTERCEPT(E36:E38,D36:D38)</f>
        <v>204.52608888102495</v>
      </c>
      <c r="D52" s="9">
        <f>SLOPE(E36:E38,D36:D38)</f>
        <v>72.379225563487864</v>
      </c>
      <c r="E52" s="33">
        <f t="shared" si="1"/>
        <v>4.8893517960034473E-3</v>
      </c>
      <c r="F52">
        <f t="shared" si="2"/>
        <v>1.3816119089625297E-2</v>
      </c>
    </row>
    <row r="53" spans="1:6" x14ac:dyDescent="0.3">
      <c r="A53" s="1"/>
    </row>
  </sheetData>
  <mergeCells count="3">
    <mergeCell ref="A1:I1"/>
    <mergeCell ref="A16:I16"/>
    <mergeCell ref="A2:I14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403BAF-CF27-4DBA-85DD-803622AE3ED9}">
  <dimension ref="A1:P53"/>
  <sheetViews>
    <sheetView topLeftCell="A27" zoomScale="85" zoomScaleNormal="85" workbookViewId="0">
      <selection activeCell="B45" sqref="B44:D45"/>
    </sheetView>
  </sheetViews>
  <sheetFormatPr defaultRowHeight="14.4" x14ac:dyDescent="0.3"/>
  <cols>
    <col min="1" max="1" width="13.88671875" customWidth="1"/>
    <col min="4" max="4" width="11.6640625" customWidth="1"/>
    <col min="5" max="5" width="10.44140625" customWidth="1"/>
    <col min="6" max="6" width="10.33203125" customWidth="1"/>
    <col min="7" max="7" width="10.88671875" customWidth="1"/>
  </cols>
  <sheetData>
    <row r="1" spans="1:16" ht="15.6" x14ac:dyDescent="0.3">
      <c r="A1" s="75" t="s">
        <v>138</v>
      </c>
      <c r="B1" s="76"/>
      <c r="C1" s="76"/>
      <c r="D1" s="76"/>
      <c r="E1" s="76"/>
      <c r="F1" s="76"/>
      <c r="G1" s="76"/>
      <c r="H1" s="76"/>
      <c r="I1" s="77"/>
    </row>
    <row r="2" spans="1:16" x14ac:dyDescent="0.3">
      <c r="A2" s="65" t="e" vm="2">
        <v>#VALUE!</v>
      </c>
      <c r="B2" s="66"/>
      <c r="C2" s="66"/>
      <c r="D2" s="66"/>
      <c r="E2" s="66"/>
      <c r="F2" s="66"/>
      <c r="G2" s="66"/>
      <c r="H2" s="66"/>
      <c r="I2" s="67"/>
    </row>
    <row r="3" spans="1:16" x14ac:dyDescent="0.3">
      <c r="A3" s="68"/>
      <c r="B3" s="69"/>
      <c r="C3" s="69"/>
      <c r="D3" s="69"/>
      <c r="E3" s="69"/>
      <c r="F3" s="69"/>
      <c r="G3" s="69"/>
      <c r="H3" s="69"/>
      <c r="I3" s="70"/>
    </row>
    <row r="4" spans="1:16" x14ac:dyDescent="0.3">
      <c r="A4" s="68"/>
      <c r="B4" s="69"/>
      <c r="C4" s="69"/>
      <c r="D4" s="69"/>
      <c r="E4" s="69"/>
      <c r="F4" s="69"/>
      <c r="G4" s="69"/>
      <c r="H4" s="69"/>
      <c r="I4" s="70"/>
    </row>
    <row r="5" spans="1:16" x14ac:dyDescent="0.3">
      <c r="A5" s="68"/>
      <c r="B5" s="69"/>
      <c r="C5" s="69"/>
      <c r="D5" s="69"/>
      <c r="E5" s="69"/>
      <c r="F5" s="69"/>
      <c r="G5" s="69"/>
      <c r="H5" s="69"/>
      <c r="I5" s="70"/>
    </row>
    <row r="6" spans="1:16" x14ac:dyDescent="0.3">
      <c r="A6" s="68"/>
      <c r="B6" s="69"/>
      <c r="C6" s="69"/>
      <c r="D6" s="69"/>
      <c r="E6" s="69"/>
      <c r="F6" s="69"/>
      <c r="G6" s="69"/>
      <c r="H6" s="69"/>
      <c r="I6" s="70"/>
    </row>
    <row r="7" spans="1:16" x14ac:dyDescent="0.3">
      <c r="A7" s="68"/>
      <c r="B7" s="69"/>
      <c r="C7" s="69"/>
      <c r="D7" s="69"/>
      <c r="E7" s="69"/>
      <c r="F7" s="69"/>
      <c r="G7" s="69"/>
      <c r="H7" s="69"/>
      <c r="I7" s="70"/>
    </row>
    <row r="8" spans="1:16" x14ac:dyDescent="0.3">
      <c r="A8" s="68"/>
      <c r="B8" s="69"/>
      <c r="C8" s="69"/>
      <c r="D8" s="69"/>
      <c r="E8" s="69"/>
      <c r="F8" s="69"/>
      <c r="G8" s="69"/>
      <c r="H8" s="69"/>
      <c r="I8" s="70"/>
    </row>
    <row r="9" spans="1:16" x14ac:dyDescent="0.3">
      <c r="A9" s="68"/>
      <c r="B9" s="69"/>
      <c r="C9" s="69"/>
      <c r="D9" s="69"/>
      <c r="E9" s="69"/>
      <c r="F9" s="69"/>
      <c r="G9" s="69"/>
      <c r="H9" s="69"/>
      <c r="I9" s="70"/>
    </row>
    <row r="10" spans="1:16" x14ac:dyDescent="0.3">
      <c r="A10" s="68"/>
      <c r="B10" s="69"/>
      <c r="C10" s="69"/>
      <c r="D10" s="69"/>
      <c r="E10" s="69"/>
      <c r="F10" s="69"/>
      <c r="G10" s="69"/>
      <c r="H10" s="69"/>
      <c r="I10" s="70"/>
      <c r="M10" s="11"/>
    </row>
    <row r="11" spans="1:16" x14ac:dyDescent="0.3">
      <c r="A11" s="68"/>
      <c r="B11" s="69"/>
      <c r="C11" s="69"/>
      <c r="D11" s="69"/>
      <c r="E11" s="69"/>
      <c r="F11" s="69"/>
      <c r="G11" s="69"/>
      <c r="H11" s="69"/>
      <c r="I11" s="70"/>
      <c r="M11" s="7"/>
      <c r="N11" s="7"/>
      <c r="O11" s="9"/>
      <c r="P11" s="9"/>
    </row>
    <row r="12" spans="1:16" x14ac:dyDescent="0.3">
      <c r="A12" s="68"/>
      <c r="B12" s="69"/>
      <c r="C12" s="69"/>
      <c r="D12" s="69"/>
      <c r="E12" s="69"/>
      <c r="F12" s="69"/>
      <c r="G12" s="69"/>
      <c r="H12" s="69"/>
      <c r="I12" s="70"/>
    </row>
    <row r="13" spans="1:16" x14ac:dyDescent="0.3">
      <c r="A13" s="68"/>
      <c r="B13" s="69"/>
      <c r="C13" s="69"/>
      <c r="D13" s="69"/>
      <c r="E13" s="69"/>
      <c r="F13" s="69"/>
      <c r="G13" s="69"/>
      <c r="H13" s="69"/>
      <c r="I13" s="70"/>
    </row>
    <row r="14" spans="1:16" x14ac:dyDescent="0.3">
      <c r="A14" s="71"/>
      <c r="B14" s="72"/>
      <c r="C14" s="72"/>
      <c r="D14" s="72"/>
      <c r="E14" s="72"/>
      <c r="F14" s="72"/>
      <c r="G14" s="72"/>
      <c r="H14" s="72"/>
      <c r="I14" s="73"/>
    </row>
    <row r="16" spans="1:16" x14ac:dyDescent="0.3">
      <c r="A16" s="74" t="s">
        <v>128</v>
      </c>
      <c r="B16" s="74"/>
      <c r="C16" s="74"/>
      <c r="D16" s="74"/>
      <c r="E16" s="74"/>
      <c r="F16" s="74"/>
      <c r="G16" s="74"/>
      <c r="H16" s="74"/>
      <c r="I16" s="74"/>
    </row>
    <row r="17" spans="1:16" ht="57.6" x14ac:dyDescent="0.3">
      <c r="A17" s="11" t="s">
        <v>127</v>
      </c>
      <c r="B17" s="11" t="s">
        <v>130</v>
      </c>
      <c r="C17" s="11" t="s">
        <v>51</v>
      </c>
      <c r="D17" s="11" t="s">
        <v>140</v>
      </c>
      <c r="E17" s="11" t="s">
        <v>139</v>
      </c>
      <c r="F17" s="11"/>
      <c r="G17" s="4"/>
    </row>
    <row r="18" spans="1:16" x14ac:dyDescent="0.3">
      <c r="A18" s="9" t="s">
        <v>15</v>
      </c>
      <c r="B18" s="9">
        <v>5.01</v>
      </c>
      <c r="C18" s="9">
        <v>0.05</v>
      </c>
      <c r="D18" s="8">
        <f>1/20.3526186598576</f>
        <v>4.9133726559341756E-2</v>
      </c>
      <c r="E18" s="7">
        <f>1/C18*($D$39-D18)/B18</f>
        <v>-0.10876231250448319</v>
      </c>
      <c r="F18" s="7"/>
    </row>
    <row r="19" spans="1:16" x14ac:dyDescent="0.3">
      <c r="A19" s="9" t="s">
        <v>16</v>
      </c>
      <c r="B19" s="9">
        <v>5</v>
      </c>
      <c r="C19" s="9">
        <v>0.05</v>
      </c>
      <c r="D19" s="8">
        <f>1/20.1163225291055</f>
        <v>4.9710875263266445E-2</v>
      </c>
      <c r="E19" s="7">
        <f t="shared" ref="E19:E38" si="0">1/C19*($D$39-D19)/B19</f>
        <v>-0.11128843194519092</v>
      </c>
      <c r="F19" s="7"/>
    </row>
    <row r="20" spans="1:16" x14ac:dyDescent="0.3">
      <c r="A20" s="9" t="s">
        <v>17</v>
      </c>
      <c r="B20" s="9">
        <v>5.01</v>
      </c>
      <c r="C20" s="9">
        <v>0.05</v>
      </c>
      <c r="D20" s="8">
        <f>1/24.231813473038</f>
        <v>4.1268062793264303E-2</v>
      </c>
      <c r="E20" s="7">
        <f t="shared" si="0"/>
        <v>-7.7362457150880581E-2</v>
      </c>
      <c r="F20" s="7"/>
    </row>
    <row r="21" spans="1:16" x14ac:dyDescent="0.3">
      <c r="A21" s="9" t="s">
        <v>27</v>
      </c>
      <c r="B21" s="9">
        <v>5</v>
      </c>
      <c r="C21" s="9">
        <v>0.05</v>
      </c>
      <c r="D21" s="8">
        <f>1/23.8182952442218</f>
        <v>4.1984532887281045E-2</v>
      </c>
      <c r="E21" s="7">
        <f>1/C21*($D$41-D21)/B21</f>
        <v>-8.1019940473024993E-2</v>
      </c>
      <c r="F21" s="7"/>
      <c r="H21" s="9"/>
      <c r="I21" s="9"/>
    </row>
    <row r="22" spans="1:16" x14ac:dyDescent="0.3">
      <c r="A22" s="9" t="s">
        <v>28</v>
      </c>
      <c r="B22" s="9">
        <v>5.0199999999999996</v>
      </c>
      <c r="C22" s="9">
        <v>0.05</v>
      </c>
      <c r="D22" s="8">
        <f>1/20.9039762982792</f>
        <v>4.7837788645135389E-2</v>
      </c>
      <c r="E22" s="7">
        <f t="shared" si="0"/>
        <v>-0.10338255525166004</v>
      </c>
      <c r="F22" s="7"/>
    </row>
    <row r="23" spans="1:16" x14ac:dyDescent="0.3">
      <c r="A23" s="9" t="s">
        <v>29</v>
      </c>
      <c r="B23" s="9">
        <v>5.0199999999999996</v>
      </c>
      <c r="C23" s="9">
        <v>0.05</v>
      </c>
      <c r="D23" s="8">
        <f>1/22.7155799673787</f>
        <v>4.4022648835560264E-2</v>
      </c>
      <c r="E23" s="7">
        <f t="shared" si="0"/>
        <v>-8.8182795054149582E-2</v>
      </c>
      <c r="F23" s="7"/>
    </row>
    <row r="24" spans="1:16" x14ac:dyDescent="0.3">
      <c r="A24" s="9" t="s">
        <v>30</v>
      </c>
      <c r="B24" s="9">
        <v>5</v>
      </c>
      <c r="C24" s="9">
        <v>0.05</v>
      </c>
      <c r="D24" s="8">
        <f>1/2.25627331309213</f>
        <v>0.44320871686841029</v>
      </c>
      <c r="E24" s="7">
        <f t="shared" si="0"/>
        <v>-1.6852797983657664</v>
      </c>
      <c r="F24" s="7"/>
    </row>
    <row r="25" spans="1:16" x14ac:dyDescent="0.3">
      <c r="A25" s="32" t="s">
        <v>31</v>
      </c>
      <c r="B25" s="32">
        <v>5.04</v>
      </c>
      <c r="C25" s="32">
        <v>0.05</v>
      </c>
      <c r="D25" s="8">
        <f>1/1.8378322482186</f>
        <v>0.54411930194896407</v>
      </c>
      <c r="E25" s="7">
        <f t="shared" si="0"/>
        <v>-2.0723433915555369</v>
      </c>
      <c r="F25" s="7"/>
      <c r="N25" s="11"/>
      <c r="O25" s="11"/>
      <c r="P25" s="11"/>
    </row>
    <row r="26" spans="1:16" x14ac:dyDescent="0.3">
      <c r="A26" s="9" t="s">
        <v>32</v>
      </c>
      <c r="B26" s="9">
        <v>4.9800000000000004</v>
      </c>
      <c r="C26" s="9">
        <v>0.05</v>
      </c>
      <c r="D26" s="8">
        <f>1/2.22673629674811</f>
        <v>0.44908775298646003</v>
      </c>
      <c r="E26" s="7">
        <f t="shared" si="0"/>
        <v>-1.7156585771465516</v>
      </c>
      <c r="F26" s="7"/>
      <c r="N26" s="9"/>
      <c r="O26" s="13"/>
      <c r="P26" s="7"/>
    </row>
    <row r="27" spans="1:16" x14ac:dyDescent="0.3">
      <c r="A27" s="9" t="s">
        <v>33</v>
      </c>
      <c r="B27" s="9">
        <v>5.03</v>
      </c>
      <c r="C27" s="9">
        <v>0.05</v>
      </c>
      <c r="D27" s="8">
        <f>1/6.16500514261655</f>
        <v>0.16220586631588441</v>
      </c>
      <c r="E27" s="7">
        <f t="shared" si="0"/>
        <v>-0.55792087093008214</v>
      </c>
      <c r="F27" s="7"/>
    </row>
    <row r="28" spans="1:16" x14ac:dyDescent="0.3">
      <c r="A28" s="9" t="s">
        <v>34</v>
      </c>
      <c r="B28" s="9">
        <v>5.03</v>
      </c>
      <c r="C28" s="9">
        <v>0.05</v>
      </c>
      <c r="D28" s="8">
        <f>1/6.51944933874471</f>
        <v>0.15338718778855415</v>
      </c>
      <c r="E28" s="7">
        <f t="shared" si="0"/>
        <v>-0.52285654278960403</v>
      </c>
      <c r="F28" s="7"/>
    </row>
    <row r="29" spans="1:16" x14ac:dyDescent="0.3">
      <c r="A29" s="9" t="s">
        <v>35</v>
      </c>
      <c r="B29" s="9">
        <v>4.95</v>
      </c>
      <c r="C29" s="9">
        <v>0.05</v>
      </c>
      <c r="D29" s="8">
        <f>1/4.205716391797</f>
        <v>0.23777162006226588</v>
      </c>
      <c r="E29" s="7">
        <f t="shared" si="0"/>
        <v>-0.87225395064766509</v>
      </c>
      <c r="F29" s="7"/>
    </row>
    <row r="30" spans="1:16" x14ac:dyDescent="0.3">
      <c r="A30" s="9" t="s">
        <v>36</v>
      </c>
      <c r="B30" s="9">
        <v>5.0599999999999996</v>
      </c>
      <c r="C30" s="9">
        <v>0.05</v>
      </c>
      <c r="D30" s="8">
        <f>1/5.42657973401622</f>
        <v>0.18427813632435075</v>
      </c>
      <c r="E30" s="7">
        <f t="shared" si="0"/>
        <v>-0.64185521362601594</v>
      </c>
      <c r="F30" s="7"/>
    </row>
    <row r="31" spans="1:16" x14ac:dyDescent="0.3">
      <c r="A31" s="9" t="s">
        <v>40</v>
      </c>
      <c r="B31" s="9">
        <v>4.93</v>
      </c>
      <c r="C31" s="9">
        <v>0.05</v>
      </c>
      <c r="D31" s="8">
        <f>1/4.97367881674135</f>
        <v>0.20105841909895963</v>
      </c>
      <c r="E31" s="7">
        <f t="shared" si="0"/>
        <v>-0.7268545712859672</v>
      </c>
      <c r="F31" s="7"/>
    </row>
    <row r="32" spans="1:16" x14ac:dyDescent="0.3">
      <c r="A32" s="9" t="s">
        <v>41</v>
      </c>
      <c r="B32" s="9">
        <v>5.01</v>
      </c>
      <c r="C32" s="9">
        <v>0.05</v>
      </c>
      <c r="D32" s="8">
        <f>1/3.35898858993529</f>
        <v>0.29770866236234067</v>
      </c>
      <c r="E32" s="7">
        <f t="shared" si="0"/>
        <v>-1.1010774254905069</v>
      </c>
      <c r="F32" s="7"/>
    </row>
    <row r="33" spans="1:6" x14ac:dyDescent="0.3">
      <c r="A33" s="9" t="s">
        <v>37</v>
      </c>
      <c r="B33" s="9">
        <v>5</v>
      </c>
      <c r="C33" s="9">
        <v>0.05</v>
      </c>
      <c r="D33" s="8">
        <f>1/8.34089867995886</f>
        <v>0.11989115782005066</v>
      </c>
      <c r="E33" s="7">
        <f t="shared" si="0"/>
        <v>-0.3920095621723278</v>
      </c>
      <c r="F33" s="7"/>
    </row>
    <row r="34" spans="1:6" x14ac:dyDescent="0.3">
      <c r="A34" s="9" t="s">
        <v>42</v>
      </c>
      <c r="B34" s="9">
        <v>5</v>
      </c>
      <c r="C34" s="9">
        <v>0.05</v>
      </c>
      <c r="D34" s="8">
        <f>1/10.0245086115676</f>
        <v>9.9755513087800451E-2</v>
      </c>
      <c r="E34" s="7">
        <f t="shared" si="0"/>
        <v>-0.31146698324332694</v>
      </c>
      <c r="F34" s="7"/>
    </row>
    <row r="35" spans="1:6" x14ac:dyDescent="0.3">
      <c r="A35" s="9" t="s">
        <v>43</v>
      </c>
      <c r="B35" s="9">
        <v>5.0199999999999996</v>
      </c>
      <c r="C35" s="9">
        <v>0.05</v>
      </c>
      <c r="D35" s="8">
        <f>1/9.82759516927419</f>
        <v>0.10175429316894158</v>
      </c>
      <c r="E35" s="7">
        <f t="shared" si="0"/>
        <v>-0.31818934618315886</v>
      </c>
      <c r="F35" s="7"/>
    </row>
    <row r="36" spans="1:6" x14ac:dyDescent="0.3">
      <c r="A36" s="9" t="s">
        <v>38</v>
      </c>
      <c r="B36" s="9">
        <v>5.05</v>
      </c>
      <c r="C36" s="9">
        <v>0.05</v>
      </c>
      <c r="D36" s="8">
        <f>1/4.76691970233325</f>
        <v>0.20977907379277502</v>
      </c>
      <c r="E36" s="7">
        <f t="shared" si="0"/>
        <v>-0.74412002580517345</v>
      </c>
      <c r="F36" s="7"/>
    </row>
    <row r="37" spans="1:6" x14ac:dyDescent="0.3">
      <c r="A37" s="9" t="s">
        <v>44</v>
      </c>
      <c r="B37" s="9">
        <v>5.0599999999999996</v>
      </c>
      <c r="C37" s="9">
        <v>0.05</v>
      </c>
      <c r="D37" s="8">
        <f>1/5.93855468397911</f>
        <v>0.16839114114715084</v>
      </c>
      <c r="E37" s="7">
        <f t="shared" si="0"/>
        <v>-0.57906076628530478</v>
      </c>
      <c r="F37" s="7"/>
    </row>
    <row r="38" spans="1:6" x14ac:dyDescent="0.3">
      <c r="A38" s="9" t="s">
        <v>45</v>
      </c>
      <c r="B38" s="9">
        <v>5</v>
      </c>
      <c r="C38" s="9">
        <v>0.05</v>
      </c>
      <c r="D38" s="8">
        <f>1/5.55457347150694</f>
        <v>0.18003182514906999</v>
      </c>
      <c r="E38" s="7">
        <f t="shared" si="0"/>
        <v>-0.63257223148840502</v>
      </c>
      <c r="F38" s="7"/>
    </row>
    <row r="39" spans="1:6" x14ac:dyDescent="0.3">
      <c r="A39" s="9" t="s">
        <v>39</v>
      </c>
      <c r="B39" s="9">
        <v>0</v>
      </c>
      <c r="C39" s="9">
        <v>0.05</v>
      </c>
      <c r="D39" s="8">
        <f>1/45.6855330109063</f>
        <v>2.1888767276968719E-2</v>
      </c>
      <c r="E39" s="7">
        <v>0</v>
      </c>
      <c r="F39" s="7"/>
    </row>
    <row r="40" spans="1:6" x14ac:dyDescent="0.3">
      <c r="A40" s="9" t="s">
        <v>46</v>
      </c>
      <c r="B40" s="9">
        <v>0</v>
      </c>
      <c r="C40" s="9">
        <v>0.05</v>
      </c>
      <c r="D40" s="8">
        <f>1/47.3986799588591</f>
        <v>2.1097633960860843E-2</v>
      </c>
      <c r="E40" s="7">
        <v>0</v>
      </c>
      <c r="F40" s="7"/>
    </row>
    <row r="41" spans="1:6" x14ac:dyDescent="0.3">
      <c r="A41" s="9" t="s">
        <v>47</v>
      </c>
      <c r="B41" s="9">
        <v>0</v>
      </c>
      <c r="C41" s="9">
        <v>0.05</v>
      </c>
      <c r="D41" s="8">
        <f>1/46.0202858628051</f>
        <v>2.1729547769024797E-2</v>
      </c>
      <c r="E41" s="7">
        <v>0</v>
      </c>
      <c r="F41" s="7"/>
    </row>
    <row r="44" spans="1:6" x14ac:dyDescent="0.3">
      <c r="C44" s="4" t="s">
        <v>56</v>
      </c>
      <c r="D44" s="4" t="s">
        <v>55</v>
      </c>
    </row>
    <row r="45" spans="1:6" x14ac:dyDescent="0.3">
      <c r="A45" s="4"/>
      <c r="B45" s="4" t="s">
        <v>132</v>
      </c>
      <c r="C45" s="4" t="s">
        <v>141</v>
      </c>
      <c r="D45" s="4" t="s">
        <v>142</v>
      </c>
      <c r="E45" s="4" t="s">
        <v>143</v>
      </c>
      <c r="F45" s="4" t="s">
        <v>144</v>
      </c>
    </row>
    <row r="46" spans="1:6" x14ac:dyDescent="0.3">
      <c r="A46" s="4" t="s">
        <v>63</v>
      </c>
      <c r="B46" s="9">
        <v>1</v>
      </c>
      <c r="C46" s="9">
        <f>INTERCEPT(E18:E20,D18:D20)</f>
        <v>8.8007312096685733E-2</v>
      </c>
      <c r="D46" s="9">
        <f>SLOPE(E18:E20,D18:D20)</f>
        <v>-4.0070263414789862</v>
      </c>
      <c r="E46" s="33">
        <f>1/C46</f>
        <v>11.362692214726314</v>
      </c>
      <c r="F46">
        <f>1/D46</f>
        <v>-0.24956162370295321</v>
      </c>
    </row>
    <row r="47" spans="1:6" x14ac:dyDescent="0.3">
      <c r="A47" s="4" t="s">
        <v>64</v>
      </c>
      <c r="B47" s="9">
        <v>0.999</v>
      </c>
      <c r="C47" s="9">
        <f>INTERCEPT(E21:E23,D21:D23)</f>
        <v>8.0525467483230292E-2</v>
      </c>
      <c r="D47" s="9">
        <f>SLOPE(E21:E23,D21:D23)</f>
        <v>-3.8414719045097732</v>
      </c>
      <c r="E47" s="33">
        <f t="shared" ref="E47:F52" si="1">1/C47</f>
        <v>12.418431475834071</v>
      </c>
      <c r="F47">
        <f t="shared" si="1"/>
        <v>-0.26031688500078054</v>
      </c>
    </row>
    <row r="48" spans="1:6" x14ac:dyDescent="0.3">
      <c r="A48" s="4" t="s">
        <v>65</v>
      </c>
      <c r="B48" s="9">
        <v>0.99970000000000003</v>
      </c>
      <c r="C48" s="9">
        <f>INTERCEPT(E24:E26,D24:D26)</f>
        <v>-5.2308348794674053E-3</v>
      </c>
      <c r="D48" s="9">
        <f>SLOPE(E24:E26,D24:D26)</f>
        <v>-3.7994495532278054</v>
      </c>
      <c r="E48" s="33">
        <f t="shared" si="1"/>
        <v>-191.17407126065089</v>
      </c>
      <c r="F48">
        <f t="shared" si="1"/>
        <v>-0.26319601984199381</v>
      </c>
    </row>
    <row r="49" spans="1:6" x14ac:dyDescent="0.3">
      <c r="A49" s="4" t="s">
        <v>66</v>
      </c>
      <c r="B49" s="9">
        <v>1</v>
      </c>
      <c r="C49" s="9">
        <f>INTERCEPT(E27:E29,D27:D29)</f>
        <v>0.1141157957154969</v>
      </c>
      <c r="D49" s="9">
        <f>SLOPE(E27:E29,D27:D29)</f>
        <v>-4.148039906902957</v>
      </c>
      <c r="E49" s="33">
        <f t="shared" si="1"/>
        <v>8.7630287615319169</v>
      </c>
      <c r="F49">
        <f t="shared" si="1"/>
        <v>-0.24107771922248164</v>
      </c>
    </row>
    <row r="50" spans="1:6" x14ac:dyDescent="0.3">
      <c r="A50" s="4" t="s">
        <v>67</v>
      </c>
      <c r="B50" s="9">
        <v>0.99860000000000004</v>
      </c>
      <c r="C50" s="9">
        <f>INTERCEPT(E30:E32,D30:D32)</f>
        <v>8.4706106933554182E-2</v>
      </c>
      <c r="D50" s="9">
        <f>SLOPE(E30:E32,D30:D32)</f>
        <v>-3.9878846381996809</v>
      </c>
      <c r="E50" s="33">
        <f t="shared" si="1"/>
        <v>11.805524255582041</v>
      </c>
      <c r="F50">
        <f t="shared" si="1"/>
        <v>-0.25075951054879236</v>
      </c>
    </row>
    <row r="51" spans="1:6" x14ac:dyDescent="0.3">
      <c r="A51" s="4" t="s">
        <v>68</v>
      </c>
      <c r="B51" s="9">
        <v>0.99980000000000002</v>
      </c>
      <c r="C51" s="9">
        <f>INTERCEPT(E33:E35,D33:D35)</f>
        <v>9.0959488336579741E-2</v>
      </c>
      <c r="D51" s="9">
        <f>SLOPE(E33:E35,D33:D35)</f>
        <v>-4.027817279039791</v>
      </c>
      <c r="E51" s="33">
        <f t="shared" si="1"/>
        <v>10.993905290008605</v>
      </c>
      <c r="F51">
        <f t="shared" si="1"/>
        <v>-0.24827342719935755</v>
      </c>
    </row>
    <row r="52" spans="1:6" x14ac:dyDescent="0.3">
      <c r="A52" s="4" t="s">
        <v>69</v>
      </c>
      <c r="B52" s="9">
        <v>0.99780000000000002</v>
      </c>
      <c r="C52" s="9">
        <f>INTERCEPT(E36:E38,D36:D38)</f>
        <v>8.1402255767343723E-2</v>
      </c>
      <c r="D52" s="9">
        <f>SLOPE(E36:E38,D36:D38)</f>
        <v>-3.9411532615147165</v>
      </c>
      <c r="E52" s="33">
        <f t="shared" si="1"/>
        <v>12.28467185059473</v>
      </c>
      <c r="F52">
        <f t="shared" si="1"/>
        <v>-0.25373283748312458</v>
      </c>
    </row>
    <row r="53" spans="1:6" x14ac:dyDescent="0.3">
      <c r="A53" s="1"/>
    </row>
  </sheetData>
  <mergeCells count="3">
    <mergeCell ref="A1:I1"/>
    <mergeCell ref="A2:I14"/>
    <mergeCell ref="A16:I16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295D3165274C4785A0CBD336D4CB0F" ma:contentTypeVersion="11" ma:contentTypeDescription="Create a new document." ma:contentTypeScope="" ma:versionID="70cde28db3d6ec5a502d0207600f9154">
  <xsd:schema xmlns:xsd="http://www.w3.org/2001/XMLSchema" xmlns:xs="http://www.w3.org/2001/XMLSchema" xmlns:p="http://schemas.microsoft.com/office/2006/metadata/properties" xmlns:ns2="9e7e862f-fd2b-4f26-8c55-eda3534c9efa" xmlns:ns3="74082bf1-f915-4743-9c52-114cee727a99" targetNamespace="http://schemas.microsoft.com/office/2006/metadata/properties" ma:root="true" ma:fieldsID="035eac00da715372e6d24cf22ffb80c1" ns2:_="" ns3:_="">
    <xsd:import namespace="9e7e862f-fd2b-4f26-8c55-eda3534c9efa"/>
    <xsd:import namespace="74082bf1-f915-4743-9c52-114cee727a9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7e862f-fd2b-4f26-8c55-eda3534c9ef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4ed3f799-2585-429a-ae92-38aec2d16a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082bf1-f915-4743-9c52-114cee727a99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cd9416d7-d281-46f0-b110-ff4bdacec436}" ma:internalName="TaxCatchAll" ma:showField="CatchAllData" ma:web="74082bf1-f915-4743-9c52-114cee727a9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A56C6A2-29DB-44FB-81C9-A7AD2D0EA5CA}"/>
</file>

<file path=customXml/itemProps2.xml><?xml version="1.0" encoding="utf-8"?>
<ds:datastoreItem xmlns:ds="http://schemas.openxmlformats.org/officeDocument/2006/customXml" ds:itemID="{2C183C8A-4875-4BB7-BADD-16F281844A3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Calibration Distilled Water</vt:lpstr>
      <vt:lpstr>Distilled water</vt:lpstr>
      <vt:lpstr>Calibration SeaWater</vt:lpstr>
      <vt:lpstr>Sea water</vt:lpstr>
      <vt:lpstr>latest data </vt:lpstr>
      <vt:lpstr>Isotherms Freudlich Dist Water</vt:lpstr>
      <vt:lpstr>Isotherms Freudlich Sea Water</vt:lpstr>
      <vt:lpstr>Isotherms Lingmur Dist Water</vt:lpstr>
      <vt:lpstr>Isotherms Lingmur Sea wat</vt:lpstr>
      <vt:lpstr>Isotherms  Timklin Dist Water</vt:lpstr>
      <vt:lpstr>Isotherms Timklin Sea Water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Federica Persico</dc:creator>
  <cp:lastModifiedBy>Federica Persico</cp:lastModifiedBy>
  <dcterms:created xsi:type="dcterms:W3CDTF">2015-06-05T18:17:20Z</dcterms:created>
  <dcterms:modified xsi:type="dcterms:W3CDTF">2024-09-09T09:56:25Z</dcterms:modified>
</cp:coreProperties>
</file>