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ThisWorkbook"/>
  <mc:AlternateContent xmlns:mc="http://schemas.openxmlformats.org/markup-compatibility/2006">
    <mc:Choice Requires="x15">
      <x15ac:absPath xmlns:x15ac="http://schemas.microsoft.com/office/spreadsheetml/2010/11/ac" url="C:\Users\lcumplid.CHAP\Downloads\"/>
    </mc:Choice>
  </mc:AlternateContent>
  <xr:revisionPtr revIDLastSave="0" documentId="13_ncr:1_{19A77B17-7F66-49A3-89B5-11612C302BA7}" xr6:coauthVersionLast="47" xr6:coauthVersionMax="47" xr10:uidLastSave="{00000000-0000-0000-0000-000000000000}"/>
  <bookViews>
    <workbookView xWindow="-110" yWindow="-110" windowWidth="19420" windowHeight="10300" xr2:uid="{00000000-000D-0000-FFFF-FFFF00000000}"/>
  </bookViews>
  <sheets>
    <sheet name="Info" sheetId="111" r:id="rId1"/>
    <sheet name="Summary" sheetId="63" r:id="rId2"/>
    <sheet name="Results" sheetId="62" r:id="rId3"/>
    <sheet name="Diesel" sheetId="108" r:id="rId4"/>
    <sheet name="BiomassAG" sheetId="91" r:id="rId5"/>
    <sheet name="BiomassBG" sheetId="109" r:id="rId6"/>
    <sheet name="min_soils" sheetId="84" r:id="rId7"/>
    <sheet name="Litter" sheetId="105" r:id="rId8"/>
    <sheet name="N_Application" sheetId="56" state="hidden" r:id="rId9"/>
    <sheet name="AmmNi" sheetId="107" state="hidden" r:id="rId10"/>
    <sheet name="directN2O_1" sheetId="57" r:id="rId11"/>
    <sheet name="indirectN20_1" sheetId="59" r:id="rId12"/>
    <sheet name="indirectN2O_2" sheetId="60" r:id="rId13"/>
    <sheet name="Machinery" sheetId="75" state="hidden" r:id="rId14"/>
    <sheet name="Other input data" sheetId="110" state="hidden" r:id="rId15"/>
    <sheet name="Paper calc" sheetId="112" state="hidden" r:id="rId16"/>
    <sheet name="Fertilisers" sheetId="78" state="hidden" r:id="rId17"/>
    <sheet name="LCI data" sheetId="77" state="hidden" r:id="rId18"/>
  </sheets>
  <definedNames>
    <definedName name="GWP_CH4">'Other input data'!$E$7</definedName>
    <definedName name="GWP_N2O">'Other input data'!$E$6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0" i="62" l="1"/>
  <c r="N69" i="62"/>
  <c r="G55" i="84"/>
  <c r="F55" i="84"/>
  <c r="G54" i="84"/>
  <c r="F54" i="84"/>
  <c r="E55" i="84"/>
  <c r="E54" i="84"/>
  <c r="D55" i="84"/>
  <c r="I55" i="84" s="1"/>
  <c r="D54" i="84"/>
  <c r="C31" i="60"/>
  <c r="C30" i="60"/>
  <c r="C29" i="60"/>
  <c r="C28" i="60"/>
  <c r="C27" i="60"/>
  <c r="C26" i="60"/>
  <c r="C25" i="60"/>
  <c r="C24" i="60"/>
  <c r="C23" i="60"/>
  <c r="D120" i="62"/>
  <c r="N120" i="62" s="1"/>
  <c r="D123" i="62"/>
  <c r="N123" i="62" s="1"/>
  <c r="D128" i="62"/>
  <c r="N128" i="62" s="1"/>
  <c r="C23" i="59"/>
  <c r="D121" i="62" s="1"/>
  <c r="N121" i="62" s="1"/>
  <c r="C24" i="59"/>
  <c r="D122" i="62" s="1"/>
  <c r="N122" i="62" s="1"/>
  <c r="C25" i="59"/>
  <c r="C26" i="59"/>
  <c r="D124" i="62" s="1"/>
  <c r="N124" i="62" s="1"/>
  <c r="C27" i="59"/>
  <c r="D125" i="62" s="1"/>
  <c r="N125" i="62" s="1"/>
  <c r="C28" i="59"/>
  <c r="D126" i="62" s="1"/>
  <c r="N126" i="62" s="1"/>
  <c r="C29" i="59"/>
  <c r="D127" i="62" s="1"/>
  <c r="N127" i="62" s="1"/>
  <c r="C30" i="59"/>
  <c r="C31" i="59"/>
  <c r="D129" i="62" s="1"/>
  <c r="N129" i="62" s="1"/>
  <c r="C22" i="59"/>
  <c r="D68" i="62" l="1"/>
  <c r="I54" i="84"/>
  <c r="H54" i="84"/>
  <c r="D67" i="62" l="1"/>
  <c r="K69" i="62"/>
  <c r="H55" i="84"/>
  <c r="D69" i="62"/>
  <c r="D70" i="62" l="1"/>
  <c r="K70" i="62"/>
  <c r="D50" i="57" l="1"/>
  <c r="R50" i="57" l="1"/>
  <c r="I50" i="57"/>
  <c r="K50" i="57" s="1"/>
  <c r="N50" i="57" s="1"/>
  <c r="P50" i="57" s="1"/>
  <c r="R49" i="57"/>
  <c r="I49" i="57"/>
  <c r="K49" i="57" s="1"/>
  <c r="N49" i="57" s="1"/>
  <c r="D49" i="57"/>
  <c r="R48" i="57"/>
  <c r="I48" i="57"/>
  <c r="K48" i="57" s="1"/>
  <c r="N48" i="57" s="1"/>
  <c r="D48" i="57"/>
  <c r="R47" i="57"/>
  <c r="M47" i="57"/>
  <c r="I47" i="57"/>
  <c r="D47" i="57"/>
  <c r="R46" i="57"/>
  <c r="M46" i="57"/>
  <c r="I46" i="57"/>
  <c r="K46" i="57" s="1"/>
  <c r="D46" i="57"/>
  <c r="R45" i="57"/>
  <c r="G45" i="57"/>
  <c r="I45" i="57" s="1"/>
  <c r="K45" i="57" s="1"/>
  <c r="D45" i="57"/>
  <c r="R44" i="57"/>
  <c r="G44" i="57"/>
  <c r="I44" i="57" s="1"/>
  <c r="K44" i="57" s="1"/>
  <c r="N44" i="57" s="1"/>
  <c r="D44" i="57"/>
  <c r="R43" i="57"/>
  <c r="G43" i="57"/>
  <c r="I43" i="57" s="1"/>
  <c r="K43" i="57" s="1"/>
  <c r="N43" i="57" s="1"/>
  <c r="D43" i="57"/>
  <c r="R42" i="57"/>
  <c r="G42" i="57"/>
  <c r="I42" i="57" s="1"/>
  <c r="D42" i="57"/>
  <c r="R41" i="57"/>
  <c r="G41" i="57"/>
  <c r="I41" i="57" s="1"/>
  <c r="K41" i="57" s="1"/>
  <c r="D41" i="57"/>
  <c r="D82" i="62"/>
  <c r="N82" i="62" s="1"/>
  <c r="D83" i="62"/>
  <c r="N83" i="62" s="1"/>
  <c r="D84" i="62"/>
  <c r="N84" i="62" s="1"/>
  <c r="D85" i="62"/>
  <c r="N85" i="62" s="1"/>
  <c r="D86" i="62"/>
  <c r="N86" i="62" s="1"/>
  <c r="D87" i="62"/>
  <c r="N87" i="62" s="1"/>
  <c r="D88" i="62"/>
  <c r="N88" i="62" s="1"/>
  <c r="D81" i="62"/>
  <c r="N81" i="62" s="1"/>
  <c r="D111" i="62" l="1"/>
  <c r="N111" i="62" s="1"/>
  <c r="P44" i="57"/>
  <c r="P43" i="57"/>
  <c r="N46" i="57"/>
  <c r="P46" i="57" s="1"/>
  <c r="D107" i="62" s="1"/>
  <c r="N107" i="62" s="1"/>
  <c r="P48" i="57"/>
  <c r="D109" i="62" s="1"/>
  <c r="N109" i="62" s="1"/>
  <c r="K47" i="57"/>
  <c r="N47" i="57" s="1"/>
  <c r="P47" i="57" s="1"/>
  <c r="D108" i="62" s="1"/>
  <c r="N108" i="62" s="1"/>
  <c r="P49" i="57"/>
  <c r="D110" i="62" s="1"/>
  <c r="N110" i="62" s="1"/>
  <c r="K42" i="57"/>
  <c r="N42" i="57" s="1"/>
  <c r="P42" i="57" s="1"/>
  <c r="N45" i="57"/>
  <c r="P45" i="57" s="1"/>
  <c r="N41" i="57"/>
  <c r="P41" i="57" s="1"/>
  <c r="D91" i="62"/>
  <c r="N91" i="62" s="1"/>
  <c r="G39" i="105"/>
  <c r="D93" i="62" s="1"/>
  <c r="N93" i="62" s="1"/>
  <c r="G38" i="105"/>
  <c r="D92" i="62" s="1"/>
  <c r="N92" i="62" s="1"/>
  <c r="G37" i="105"/>
  <c r="G36" i="105"/>
  <c r="D90" i="62" s="1"/>
  <c r="N90" i="62" s="1"/>
  <c r="G35" i="105"/>
  <c r="D89" i="62"/>
  <c r="N89" i="62" s="1"/>
  <c r="G34" i="105"/>
  <c r="G33" i="105"/>
  <c r="G32" i="105"/>
  <c r="G31" i="105"/>
  <c r="G30" i="105"/>
  <c r="G29" i="105"/>
  <c r="G28" i="105"/>
  <c r="G27" i="105"/>
  <c r="G26" i="105"/>
  <c r="G25" i="105"/>
  <c r="G24" i="105"/>
  <c r="D24" i="105"/>
  <c r="E24" i="105" s="1"/>
  <c r="D78" i="62" s="1"/>
  <c r="N78" i="62" s="1"/>
  <c r="G23" i="105"/>
  <c r="D77" i="62" s="1"/>
  <c r="N77" i="62" s="1"/>
  <c r="E23" i="105"/>
  <c r="G88" i="110"/>
  <c r="G89" i="110"/>
  <c r="F25" i="109"/>
  <c r="J25" i="109" s="1"/>
  <c r="F24" i="109"/>
  <c r="J24" i="109" s="1"/>
  <c r="C24" i="109"/>
  <c r="I24" i="109" s="1"/>
  <c r="F23" i="109"/>
  <c r="J23" i="109" s="1"/>
  <c r="C23" i="109"/>
  <c r="I23" i="109" s="1"/>
  <c r="F22" i="109"/>
  <c r="J22" i="109" s="1"/>
  <c r="F21" i="109"/>
  <c r="J21" i="109" s="1"/>
  <c r="F20" i="91"/>
  <c r="J20" i="91" s="1"/>
  <c r="B21" i="91"/>
  <c r="F21" i="91"/>
  <c r="J21" i="91" s="1"/>
  <c r="B22" i="91"/>
  <c r="F22" i="91"/>
  <c r="J22" i="91" s="1"/>
  <c r="B23" i="91"/>
  <c r="F23" i="91"/>
  <c r="J23" i="91" s="1"/>
  <c r="H23" i="91"/>
  <c r="B24" i="91"/>
  <c r="H24" i="91" s="1"/>
  <c r="F24" i="91"/>
  <c r="J24" i="91" s="1"/>
  <c r="B25" i="91"/>
  <c r="H25" i="91" s="1"/>
  <c r="F25" i="91"/>
  <c r="J25" i="91" s="1"/>
  <c r="B26" i="91"/>
  <c r="H26" i="91" s="1"/>
  <c r="F26" i="91"/>
  <c r="J26" i="91" s="1"/>
  <c r="B27" i="91"/>
  <c r="F27" i="91"/>
  <c r="J27" i="91" s="1"/>
  <c r="B28" i="91"/>
  <c r="H28" i="91" s="1"/>
  <c r="C28" i="91"/>
  <c r="I28" i="91" s="1"/>
  <c r="F28" i="91"/>
  <c r="J28" i="91" s="1"/>
  <c r="B29" i="91"/>
  <c r="H29" i="91" s="1"/>
  <c r="C29" i="91"/>
  <c r="F29" i="91"/>
  <c r="J29" i="91" s="1"/>
  <c r="B30" i="91"/>
  <c r="H30" i="91" s="1"/>
  <c r="C30" i="91"/>
  <c r="I30" i="91" s="1"/>
  <c r="F30" i="91"/>
  <c r="J30" i="91" s="1"/>
  <c r="B31" i="91"/>
  <c r="C31" i="91"/>
  <c r="I31" i="91" s="1"/>
  <c r="F31" i="91"/>
  <c r="J31" i="91" s="1"/>
  <c r="B32" i="91"/>
  <c r="F32" i="91"/>
  <c r="J32" i="91" s="1"/>
  <c r="B33" i="91"/>
  <c r="H33" i="91" s="1"/>
  <c r="F33" i="91"/>
  <c r="J33" i="91" s="1"/>
  <c r="B34" i="91"/>
  <c r="H34" i="91" s="1"/>
  <c r="F34" i="91"/>
  <c r="J34" i="91" s="1"/>
  <c r="B35" i="91"/>
  <c r="F35" i="91"/>
  <c r="J35" i="91" s="1"/>
  <c r="B36" i="91"/>
  <c r="H36" i="91" s="1"/>
  <c r="F36" i="91"/>
  <c r="J36" i="91" s="1"/>
  <c r="G43" i="110"/>
  <c r="B21" i="109" s="1"/>
  <c r="G45" i="110"/>
  <c r="G47" i="110" s="1"/>
  <c r="G54" i="110"/>
  <c r="G55" i="110"/>
  <c r="G57" i="110"/>
  <c r="G64" i="110" s="1"/>
  <c r="B25" i="109" s="1"/>
  <c r="H25" i="109" s="1"/>
  <c r="G62" i="110"/>
  <c r="B22" i="109" s="1"/>
  <c r="H22" i="109" s="1"/>
  <c r="G63" i="110"/>
  <c r="B23" i="109" s="1"/>
  <c r="H23" i="109" s="1"/>
  <c r="F28" i="110"/>
  <c r="C36" i="91" s="1"/>
  <c r="I36" i="91" s="1"/>
  <c r="F26" i="110"/>
  <c r="C22" i="109" s="1"/>
  <c r="I22" i="109" s="1"/>
  <c r="F25" i="110"/>
  <c r="C23" i="91" s="1"/>
  <c r="I23" i="91" s="1"/>
  <c r="E14" i="110"/>
  <c r="E13" i="110"/>
  <c r="E12" i="110"/>
  <c r="D25" i="60" l="1"/>
  <c r="D27" i="60"/>
  <c r="D24" i="60"/>
  <c r="D23" i="60"/>
  <c r="D26" i="60"/>
  <c r="D25" i="105"/>
  <c r="E25" i="105"/>
  <c r="D79" i="62" s="1"/>
  <c r="N79" i="62" s="1"/>
  <c r="C32" i="91"/>
  <c r="I32" i="91" s="1"/>
  <c r="C25" i="91"/>
  <c r="D25" i="91" s="1"/>
  <c r="D35" i="62" s="1"/>
  <c r="C33" i="91"/>
  <c r="C24" i="91"/>
  <c r="I24" i="91" s="1"/>
  <c r="E34" i="62" s="1"/>
  <c r="C35" i="91"/>
  <c r="I35" i="91" s="1"/>
  <c r="C27" i="91"/>
  <c r="I27" i="91" s="1"/>
  <c r="C22" i="91"/>
  <c r="I22" i="91" s="1"/>
  <c r="E32" i="62" s="1"/>
  <c r="C21" i="109"/>
  <c r="I21" i="109" s="1"/>
  <c r="E58" i="62" s="1"/>
  <c r="B24" i="109"/>
  <c r="H24" i="109" s="1"/>
  <c r="E61" i="62" s="1"/>
  <c r="C20" i="91"/>
  <c r="I20" i="91" s="1"/>
  <c r="E30" i="62" s="1"/>
  <c r="C34" i="91"/>
  <c r="I34" i="91" s="1"/>
  <c r="C26" i="91"/>
  <c r="I26" i="91" s="1"/>
  <c r="E36" i="62" s="1"/>
  <c r="C21" i="91"/>
  <c r="D21" i="91" s="1"/>
  <c r="D31" i="62" s="1"/>
  <c r="C25" i="109"/>
  <c r="I25" i="109" s="1"/>
  <c r="E62" i="62" s="1"/>
  <c r="E59" i="62"/>
  <c r="E60" i="62"/>
  <c r="D23" i="109"/>
  <c r="D60" i="62" s="1"/>
  <c r="D22" i="109"/>
  <c r="D59" i="62" s="1"/>
  <c r="D33" i="91"/>
  <c r="D43" i="62" s="1"/>
  <c r="E40" i="62"/>
  <c r="E38" i="62"/>
  <c r="E33" i="62"/>
  <c r="E46" i="62"/>
  <c r="E44" i="62"/>
  <c r="D31" i="91"/>
  <c r="D41" i="62" s="1"/>
  <c r="D23" i="91"/>
  <c r="D33" i="62" s="1"/>
  <c r="D36" i="91"/>
  <c r="D46" i="62" s="1"/>
  <c r="D29" i="91"/>
  <c r="D39" i="62" s="1"/>
  <c r="D28" i="91"/>
  <c r="D38" i="62" s="1"/>
  <c r="H32" i="91"/>
  <c r="D30" i="91"/>
  <c r="D40" i="62" s="1"/>
  <c r="H31" i="91"/>
  <c r="E41" i="62" s="1"/>
  <c r="H35" i="91"/>
  <c r="H27" i="91"/>
  <c r="I33" i="91"/>
  <c r="E43" i="62" s="1"/>
  <c r="I29" i="91"/>
  <c r="E39" i="62" s="1"/>
  <c r="D26" i="105" l="1"/>
  <c r="E26" i="105" s="1"/>
  <c r="D80" i="62" s="1"/>
  <c r="N80" i="62" s="1"/>
  <c r="D24" i="91"/>
  <c r="D34" i="62" s="1"/>
  <c r="F34" i="62" s="1"/>
  <c r="I25" i="91"/>
  <c r="E35" i="62" s="1"/>
  <c r="F35" i="62" s="1"/>
  <c r="E37" i="62"/>
  <c r="D32" i="91"/>
  <c r="D42" i="62" s="1"/>
  <c r="E42" i="62"/>
  <c r="D35" i="91"/>
  <c r="D45" i="62" s="1"/>
  <c r="D27" i="91"/>
  <c r="D37" i="62" s="1"/>
  <c r="D25" i="109"/>
  <c r="D62" i="62" s="1"/>
  <c r="F62" i="62" s="1"/>
  <c r="N62" i="62" s="1"/>
  <c r="E45" i="62"/>
  <c r="I21" i="91"/>
  <c r="E31" i="62" s="1"/>
  <c r="F31" i="62" s="1"/>
  <c r="D21" i="109"/>
  <c r="D58" i="62" s="1"/>
  <c r="F58" i="62" s="1"/>
  <c r="N58" i="62" s="1"/>
  <c r="F46" i="62"/>
  <c r="D24" i="109"/>
  <c r="D61" i="62" s="1"/>
  <c r="F61" i="62" s="1"/>
  <c r="N61" i="62" s="1"/>
  <c r="D22" i="91"/>
  <c r="D32" i="62" s="1"/>
  <c r="F32" i="62" s="1"/>
  <c r="D34" i="91"/>
  <c r="D44" i="62" s="1"/>
  <c r="F44" i="62" s="1"/>
  <c r="D26" i="91"/>
  <c r="D36" i="62" s="1"/>
  <c r="F36" i="62" s="1"/>
  <c r="D20" i="91"/>
  <c r="D30" i="62" s="1"/>
  <c r="F30" i="62" s="1"/>
  <c r="F60" i="62"/>
  <c r="N60" i="62" s="1"/>
  <c r="F59" i="62"/>
  <c r="N59" i="62" s="1"/>
  <c r="F43" i="62"/>
  <c r="F38" i="62"/>
  <c r="F40" i="62"/>
  <c r="F33" i="62"/>
  <c r="F39" i="62"/>
  <c r="F41" i="62"/>
  <c r="G14" i="108"/>
  <c r="F42" i="62" l="1"/>
  <c r="F45" i="62"/>
  <c r="F37" i="62"/>
  <c r="D63" i="63"/>
  <c r="B33" i="63"/>
  <c r="B32" i="63" l="1"/>
  <c r="C5" i="112" s="1"/>
  <c r="I25" i="108" l="1"/>
  <c r="I24" i="108"/>
  <c r="I21" i="108"/>
  <c r="I20" i="108"/>
  <c r="I17" i="108"/>
  <c r="I16" i="108"/>
  <c r="G27" i="108"/>
  <c r="G26" i="108"/>
  <c r="G23" i="108"/>
  <c r="G22" i="108"/>
  <c r="G19" i="108"/>
  <c r="G18" i="108"/>
  <c r="G15" i="108"/>
  <c r="G25" i="108"/>
  <c r="I27" i="108"/>
  <c r="G16" i="108" l="1"/>
  <c r="G20" i="108"/>
  <c r="G24" i="108"/>
  <c r="I14" i="108"/>
  <c r="I18" i="108"/>
  <c r="I22" i="108"/>
  <c r="I26" i="108"/>
  <c r="G17" i="108"/>
  <c r="G21" i="108"/>
  <c r="I15" i="108"/>
  <c r="I19" i="108"/>
  <c r="I23" i="108"/>
  <c r="C108" i="75"/>
  <c r="C109" i="75" l="1"/>
  <c r="E15" i="108" l="1"/>
  <c r="E19" i="108"/>
  <c r="E23" i="108"/>
  <c r="E27" i="108"/>
  <c r="E21" i="108"/>
  <c r="E18" i="108"/>
  <c r="E26" i="108"/>
  <c r="E16" i="108"/>
  <c r="E20" i="108"/>
  <c r="E24" i="108"/>
  <c r="E14" i="108"/>
  <c r="E17" i="108"/>
  <c r="E25" i="108"/>
  <c r="E22" i="108"/>
  <c r="D29" i="56" l="1"/>
  <c r="D30" i="56"/>
  <c r="D31" i="56"/>
  <c r="D32" i="56"/>
  <c r="D33" i="56"/>
  <c r="D34" i="56"/>
  <c r="D35" i="56"/>
  <c r="D36" i="56"/>
  <c r="D28" i="56"/>
  <c r="K147" i="108" l="1"/>
  <c r="K148" i="108"/>
  <c r="K149" i="108"/>
  <c r="K138" i="108"/>
  <c r="K139" i="108"/>
  <c r="K140" i="108"/>
  <c r="K141" i="108"/>
  <c r="K142" i="108"/>
  <c r="K133" i="108"/>
  <c r="K134" i="108"/>
  <c r="K135" i="108"/>
  <c r="K123" i="108"/>
  <c r="K124" i="108"/>
  <c r="K125" i="108"/>
  <c r="K126" i="108"/>
  <c r="K127" i="108"/>
  <c r="K128" i="108"/>
  <c r="K130" i="108"/>
  <c r="K118" i="108"/>
  <c r="K119" i="108"/>
  <c r="K120" i="108"/>
  <c r="K109" i="108"/>
  <c r="K110" i="108"/>
  <c r="K111" i="108"/>
  <c r="K112" i="108"/>
  <c r="K113" i="108"/>
  <c r="K114" i="108"/>
  <c r="K115" i="108"/>
  <c r="K104" i="108"/>
  <c r="K105" i="108"/>
  <c r="K106" i="108"/>
  <c r="K93" i="108"/>
  <c r="K94" i="108"/>
  <c r="K95" i="108"/>
  <c r="K96" i="108"/>
  <c r="K97" i="108"/>
  <c r="K98" i="108"/>
  <c r="K99" i="108"/>
  <c r="K83" i="108"/>
  <c r="K84" i="108"/>
  <c r="K85" i="108"/>
  <c r="K86" i="108"/>
  <c r="K87" i="108"/>
  <c r="K88" i="108"/>
  <c r="K89" i="108"/>
  <c r="K90" i="108"/>
  <c r="K82" i="108"/>
  <c r="K76" i="108"/>
  <c r="K77" i="108"/>
  <c r="K79" i="108"/>
  <c r="K80" i="108"/>
  <c r="K73" i="108"/>
  <c r="K66" i="108"/>
  <c r="K67" i="108"/>
  <c r="K68" i="108"/>
  <c r="K69" i="108"/>
  <c r="K70" i="108"/>
  <c r="K71" i="108"/>
  <c r="K65" i="108"/>
  <c r="K55" i="108"/>
  <c r="K56" i="108"/>
  <c r="K57" i="108"/>
  <c r="K58" i="108"/>
  <c r="K59" i="108"/>
  <c r="K60" i="108"/>
  <c r="K61" i="108"/>
  <c r="K62" i="108"/>
  <c r="K63" i="108"/>
  <c r="K54" i="108"/>
  <c r="K44" i="108"/>
  <c r="K45" i="108"/>
  <c r="K46" i="108"/>
  <c r="K47" i="108"/>
  <c r="K48" i="108"/>
  <c r="K49" i="108"/>
  <c r="K50" i="108"/>
  <c r="K51" i="108"/>
  <c r="K52" i="108"/>
  <c r="K43" i="108"/>
  <c r="G149" i="108"/>
  <c r="G139" i="108"/>
  <c r="G135" i="108"/>
  <c r="G124" i="108"/>
  <c r="G120" i="108"/>
  <c r="G110" i="108"/>
  <c r="G106" i="108"/>
  <c r="G94" i="108"/>
  <c r="G83" i="108"/>
  <c r="G84" i="108"/>
  <c r="G85" i="108"/>
  <c r="G86" i="108"/>
  <c r="G87" i="108"/>
  <c r="G88" i="108"/>
  <c r="G89" i="108"/>
  <c r="G90" i="108"/>
  <c r="G82" i="108"/>
  <c r="G76" i="108"/>
  <c r="G77" i="108"/>
  <c r="G78" i="108"/>
  <c r="G79" i="108"/>
  <c r="G80" i="108"/>
  <c r="G73" i="108"/>
  <c r="G66" i="108"/>
  <c r="G67" i="108"/>
  <c r="G68" i="108"/>
  <c r="G69" i="108"/>
  <c r="G70" i="108"/>
  <c r="G71" i="108"/>
  <c r="G65" i="108"/>
  <c r="G55" i="108"/>
  <c r="G56" i="108"/>
  <c r="G57" i="108"/>
  <c r="G58" i="108"/>
  <c r="G59" i="108"/>
  <c r="G60" i="108"/>
  <c r="G61" i="108"/>
  <c r="G62" i="108"/>
  <c r="G63" i="108"/>
  <c r="G54" i="108"/>
  <c r="G44" i="108"/>
  <c r="G45" i="108"/>
  <c r="G46" i="108"/>
  <c r="G47" i="108"/>
  <c r="G48" i="108"/>
  <c r="G49" i="108"/>
  <c r="G50" i="108"/>
  <c r="G51" i="108"/>
  <c r="G52" i="108"/>
  <c r="G43" i="108"/>
  <c r="E148" i="108"/>
  <c r="E147" i="108"/>
  <c r="E142" i="108"/>
  <c r="E140" i="108"/>
  <c r="E139" i="108"/>
  <c r="E138" i="108"/>
  <c r="E137" i="108"/>
  <c r="E134" i="108"/>
  <c r="E133" i="108"/>
  <c r="E130" i="108"/>
  <c r="E128" i="108"/>
  <c r="E127" i="108"/>
  <c r="E125" i="108"/>
  <c r="E124" i="108"/>
  <c r="E123" i="108"/>
  <c r="E122" i="108"/>
  <c r="E119" i="108"/>
  <c r="E118" i="108"/>
  <c r="E117" i="108"/>
  <c r="E115" i="108"/>
  <c r="E114" i="108"/>
  <c r="E113" i="108"/>
  <c r="E111" i="108"/>
  <c r="E110" i="108"/>
  <c r="E109" i="108"/>
  <c r="E108" i="108"/>
  <c r="E105" i="108"/>
  <c r="E104" i="108"/>
  <c r="E103" i="108"/>
  <c r="E101" i="108"/>
  <c r="E99" i="108"/>
  <c r="E98" i="108"/>
  <c r="E97" i="108"/>
  <c r="E95" i="108"/>
  <c r="E94" i="108"/>
  <c r="E93" i="108"/>
  <c r="E92" i="108"/>
  <c r="E89" i="108"/>
  <c r="E88" i="108"/>
  <c r="E87" i="108"/>
  <c r="E85" i="108"/>
  <c r="E82" i="108"/>
  <c r="E79" i="108"/>
  <c r="E78" i="108"/>
  <c r="E77" i="108"/>
  <c r="E73" i="108"/>
  <c r="E70" i="108"/>
  <c r="E69" i="108"/>
  <c r="E68" i="108"/>
  <c r="E61" i="108"/>
  <c r="E60" i="108"/>
  <c r="E59" i="108"/>
  <c r="E55" i="108"/>
  <c r="E54" i="108"/>
  <c r="E50" i="108"/>
  <c r="E49" i="108"/>
  <c r="E48" i="108"/>
  <c r="E44" i="108"/>
  <c r="E43" i="108"/>
  <c r="F43" i="108" s="1"/>
  <c r="C27" i="108"/>
  <c r="C26" i="108"/>
  <c r="C25" i="108"/>
  <c r="C24" i="108"/>
  <c r="C23" i="108"/>
  <c r="C22" i="108"/>
  <c r="C21" i="108"/>
  <c r="C20" i="108"/>
  <c r="C19" i="108"/>
  <c r="C18" i="108"/>
  <c r="C17" i="108"/>
  <c r="C16" i="108"/>
  <c r="C15" i="108"/>
  <c r="C14" i="108"/>
  <c r="H49" i="78" l="1"/>
  <c r="H25" i="78"/>
  <c r="D29" i="107"/>
  <c r="D30" i="107"/>
  <c r="H19" i="78" s="1"/>
  <c r="D31" i="107"/>
  <c r="D32" i="107"/>
  <c r="H31" i="78" s="1"/>
  <c r="D33" i="107"/>
  <c r="D34" i="107"/>
  <c r="B22" i="107" s="1"/>
  <c r="D22" i="107" s="1"/>
  <c r="D35" i="107"/>
  <c r="D36" i="107"/>
  <c r="B24" i="107" s="1"/>
  <c r="D24" i="107" s="1"/>
  <c r="D28" i="107"/>
  <c r="B20" i="107"/>
  <c r="D20" i="107" s="1"/>
  <c r="B23" i="107"/>
  <c r="D23" i="107" s="1"/>
  <c r="B19" i="107"/>
  <c r="D19" i="107" s="1"/>
  <c r="D79" i="75"/>
  <c r="K78" i="108" s="1"/>
  <c r="H43" i="78" l="1"/>
  <c r="B18" i="107"/>
  <c r="D18" i="107" s="1"/>
  <c r="B16" i="107"/>
  <c r="D16" i="107" s="1"/>
  <c r="H7" i="78"/>
  <c r="B21" i="107"/>
  <c r="D21" i="107" s="1"/>
  <c r="H37" i="78"/>
  <c r="B17" i="107"/>
  <c r="D17" i="107" s="1"/>
  <c r="H13" i="78"/>
  <c r="H55" i="78"/>
  <c r="E101" i="75"/>
  <c r="E100" i="75"/>
  <c r="E99" i="75"/>
  <c r="E98" i="75"/>
  <c r="G143" i="108" s="1"/>
  <c r="E97" i="75"/>
  <c r="E96" i="75"/>
  <c r="E95" i="75"/>
  <c r="E94" i="75"/>
  <c r="E92" i="75"/>
  <c r="E91" i="75"/>
  <c r="E76" i="75"/>
  <c r="G75" i="108" s="1"/>
  <c r="E75" i="75"/>
  <c r="G74" i="108" s="1"/>
  <c r="D91" i="75"/>
  <c r="D98" i="75"/>
  <c r="K143" i="108" s="1"/>
  <c r="D76" i="75"/>
  <c r="K75" i="108" s="1"/>
  <c r="D75" i="75"/>
  <c r="K74" i="108" s="1"/>
  <c r="G144" i="108" l="1"/>
  <c r="G129" i="108"/>
  <c r="G146" i="108"/>
  <c r="G132" i="108"/>
  <c r="G118" i="108"/>
  <c r="G104" i="108"/>
  <c r="G114" i="108"/>
  <c r="G98" i="108"/>
  <c r="G147" i="108"/>
  <c r="G142" i="108"/>
  <c r="G133" i="108"/>
  <c r="G127" i="108"/>
  <c r="G101" i="108"/>
  <c r="G92" i="108"/>
  <c r="G137" i="108"/>
  <c r="G122" i="108"/>
  <c r="G117" i="108"/>
  <c r="G103" i="108"/>
  <c r="G108" i="108"/>
  <c r="G96" i="108"/>
  <c r="G141" i="108"/>
  <c r="G126" i="108"/>
  <c r="G112" i="108"/>
  <c r="G119" i="108"/>
  <c r="G130" i="108"/>
  <c r="G115" i="108"/>
  <c r="G99" i="108"/>
  <c r="K103" i="108"/>
  <c r="K122" i="108"/>
  <c r="K101" i="108"/>
  <c r="K92" i="108"/>
  <c r="K117" i="108"/>
  <c r="K137" i="108"/>
  <c r="K108" i="108"/>
  <c r="G109" i="108"/>
  <c r="G93" i="108"/>
  <c r="G138" i="108"/>
  <c r="G123" i="108"/>
  <c r="G128" i="108"/>
  <c r="G113" i="108"/>
  <c r="G97" i="108"/>
  <c r="G148" i="108"/>
  <c r="G134" i="108"/>
  <c r="G105" i="108"/>
  <c r="G140" i="108"/>
  <c r="G125" i="108"/>
  <c r="G111" i="108"/>
  <c r="G95" i="108"/>
  <c r="D95" i="75"/>
  <c r="K132" i="108" l="1"/>
  <c r="K144" i="108"/>
  <c r="K146" i="108"/>
  <c r="K129" i="108"/>
  <c r="B17" i="56" l="1"/>
  <c r="B18" i="56"/>
  <c r="B19" i="56"/>
  <c r="B20" i="56"/>
  <c r="B21" i="56"/>
  <c r="B22" i="56"/>
  <c r="B23" i="56"/>
  <c r="B24" i="56"/>
  <c r="B16" i="56"/>
  <c r="K50" i="62" l="1"/>
  <c r="N50" i="62" s="1"/>
  <c r="B27" i="63" s="1"/>
  <c r="E28" i="105" l="1"/>
  <c r="E34" i="105"/>
  <c r="E31" i="105"/>
  <c r="E32" i="105"/>
  <c r="E33" i="105"/>
  <c r="E27" i="105"/>
  <c r="E30" i="105"/>
  <c r="E29" i="105"/>
  <c r="D62" i="63" l="1"/>
  <c r="L111" i="63" s="1"/>
  <c r="C15" i="112"/>
  <c r="B48" i="63"/>
  <c r="B52" i="63"/>
  <c r="B45" i="63"/>
  <c r="B39" i="63"/>
  <c r="B53" i="63"/>
  <c r="D65" i="63"/>
  <c r="B50" i="63"/>
  <c r="D64" i="63"/>
  <c r="L132" i="63" s="1"/>
  <c r="B46" i="63"/>
  <c r="B49" i="63"/>
  <c r="B47" i="63"/>
  <c r="D66" i="63"/>
  <c r="B55" i="63"/>
  <c r="B43" i="63"/>
  <c r="B54" i="63"/>
  <c r="B51" i="63"/>
  <c r="B44" i="63"/>
  <c r="C10" i="112" l="1"/>
  <c r="L152" i="63"/>
  <c r="L179" i="63"/>
  <c r="B40" i="63"/>
  <c r="B34" i="63" l="1"/>
  <c r="B42" i="63"/>
  <c r="B41" i="63"/>
  <c r="B31" i="63" l="1"/>
  <c r="K51" i="62"/>
  <c r="N51" i="62" s="1"/>
  <c r="B28" i="63" s="1"/>
  <c r="B30" i="63"/>
  <c r="K49" i="62" l="1"/>
  <c r="N49" i="62" s="1"/>
  <c r="B26" i="63" s="1"/>
  <c r="K48" i="62"/>
  <c r="N48" i="62" s="1"/>
  <c r="B25" i="63" s="1"/>
  <c r="B37" i="63"/>
  <c r="H56" i="78"/>
  <c r="H57" i="78"/>
  <c r="E59" i="78"/>
  <c r="H59" i="78" s="1"/>
  <c r="H50" i="78"/>
  <c r="H51" i="78"/>
  <c r="E53" i="78"/>
  <c r="H53" i="78" s="1"/>
  <c r="H44" i="78"/>
  <c r="H45" i="78"/>
  <c r="E47" i="78"/>
  <c r="H47" i="78" s="1"/>
  <c r="J37" i="78"/>
  <c r="H38" i="78"/>
  <c r="J38" i="78" s="1"/>
  <c r="H39" i="78"/>
  <c r="J39" i="78" s="1"/>
  <c r="E41" i="78"/>
  <c r="H41" i="78" s="1"/>
  <c r="J41" i="78" s="1"/>
  <c r="I31" i="78"/>
  <c r="H32" i="78"/>
  <c r="J32" i="78" s="1"/>
  <c r="H33" i="78"/>
  <c r="J33" i="78" s="1"/>
  <c r="E35" i="78"/>
  <c r="H35" i="78" s="1"/>
  <c r="I35" i="78" s="1"/>
  <c r="I25" i="78"/>
  <c r="H26" i="78"/>
  <c r="I26" i="78" s="1"/>
  <c r="H27" i="78"/>
  <c r="E29" i="78"/>
  <c r="H29" i="78" s="1"/>
  <c r="H20" i="78"/>
  <c r="H21" i="78"/>
  <c r="I21" i="78" s="1"/>
  <c r="E23" i="78"/>
  <c r="H23" i="78" s="1"/>
  <c r="I23" i="78" s="1"/>
  <c r="E17" i="78"/>
  <c r="H17" i="78" s="1"/>
  <c r="J17" i="78" s="1"/>
  <c r="H15" i="78"/>
  <c r="J15" i="78" s="1"/>
  <c r="H14" i="78"/>
  <c r="J14" i="78" s="1"/>
  <c r="I13" i="78"/>
  <c r="E11" i="78"/>
  <c r="H11" i="78" s="1"/>
  <c r="J11" i="78" s="1"/>
  <c r="H9" i="78"/>
  <c r="J9" i="78" s="1"/>
  <c r="H8" i="78"/>
  <c r="J8" i="78" s="1"/>
  <c r="I7" i="78"/>
  <c r="I45" i="77"/>
  <c r="A45" i="77"/>
  <c r="A44" i="77"/>
  <c r="A43" i="77"/>
  <c r="A42" i="77"/>
  <c r="A41" i="77"/>
  <c r="A40" i="77"/>
  <c r="A39" i="77"/>
  <c r="A38" i="77"/>
  <c r="A37" i="77"/>
  <c r="A36" i="77"/>
  <c r="A35" i="77"/>
  <c r="A34" i="77"/>
  <c r="A33" i="77"/>
  <c r="A32" i="77"/>
  <c r="A31" i="77"/>
  <c r="A30" i="77"/>
  <c r="A29" i="77"/>
  <c r="A28" i="77"/>
  <c r="A27" i="77"/>
  <c r="A26" i="77"/>
  <c r="A25" i="77"/>
  <c r="A24" i="77"/>
  <c r="A23" i="77"/>
  <c r="A22" i="77"/>
  <c r="A21" i="77"/>
  <c r="A20" i="77"/>
  <c r="A19" i="77"/>
  <c r="A18" i="77"/>
  <c r="A17" i="77"/>
  <c r="A15" i="77"/>
  <c r="A14" i="77"/>
  <c r="A13" i="77"/>
  <c r="A12" i="77"/>
  <c r="A11" i="77"/>
  <c r="A10" i="77"/>
  <c r="A9" i="77"/>
  <c r="A8" i="77"/>
  <c r="CF6" i="77"/>
  <c r="CE6" i="77"/>
  <c r="CD6" i="77"/>
  <c r="CC6" i="77"/>
  <c r="CB6" i="77"/>
  <c r="CA6" i="77"/>
  <c r="BZ6" i="77"/>
  <c r="BY6" i="77"/>
  <c r="BX6" i="77"/>
  <c r="BW6" i="77"/>
  <c r="BV6" i="77"/>
  <c r="BU6" i="77"/>
  <c r="BT6" i="77"/>
  <c r="BS6" i="77"/>
  <c r="BR6" i="77"/>
  <c r="BQ6" i="77"/>
  <c r="BP6" i="77"/>
  <c r="BO6" i="77"/>
  <c r="BN6" i="77"/>
  <c r="BM6" i="77"/>
  <c r="BL6" i="77"/>
  <c r="BK6" i="77"/>
  <c r="BJ6" i="77"/>
  <c r="BI6" i="77"/>
  <c r="BH6" i="77"/>
  <c r="BG6" i="77"/>
  <c r="BF6" i="77"/>
  <c r="BE6" i="77"/>
  <c r="BD6" i="77"/>
  <c r="BC6" i="77"/>
  <c r="BB6" i="77"/>
  <c r="BA6" i="77"/>
  <c r="AZ6" i="77"/>
  <c r="AY6" i="77"/>
  <c r="AX6" i="77"/>
  <c r="AW6" i="77"/>
  <c r="AV6" i="77"/>
  <c r="AU6" i="77"/>
  <c r="AT6" i="77"/>
  <c r="AS6" i="77"/>
  <c r="AR6" i="77"/>
  <c r="AQ6" i="77"/>
  <c r="AP6" i="77"/>
  <c r="AO6" i="77"/>
  <c r="AN6" i="77"/>
  <c r="AM6" i="77"/>
  <c r="AL6" i="77"/>
  <c r="AK6" i="77"/>
  <c r="AJ6" i="77"/>
  <c r="AI6" i="77"/>
  <c r="AH6" i="77"/>
  <c r="AG6" i="77"/>
  <c r="AF6" i="77"/>
  <c r="AE6" i="77"/>
  <c r="AD6" i="77"/>
  <c r="AC6" i="77"/>
  <c r="AB6" i="77"/>
  <c r="AA6" i="77"/>
  <c r="Z6" i="77"/>
  <c r="Y6" i="77"/>
  <c r="X6" i="77"/>
  <c r="W6" i="77"/>
  <c r="V6" i="77"/>
  <c r="U6" i="77"/>
  <c r="T6" i="77"/>
  <c r="S6" i="77"/>
  <c r="R6" i="77"/>
  <c r="Q6" i="77"/>
  <c r="P6" i="77"/>
  <c r="O6" i="77"/>
  <c r="N6" i="77"/>
  <c r="M6" i="77"/>
  <c r="L6" i="77"/>
  <c r="K6" i="77"/>
  <c r="J6" i="77"/>
  <c r="I6" i="77"/>
  <c r="H6" i="77"/>
  <c r="G6" i="77"/>
  <c r="F6" i="77"/>
  <c r="E6" i="77"/>
  <c r="D6" i="77"/>
  <c r="C6" i="77"/>
  <c r="B6" i="77"/>
  <c r="A6" i="77"/>
  <c r="E26" i="60" l="1"/>
  <c r="D139" i="62" s="1"/>
  <c r="N139" i="62" s="1"/>
  <c r="E23" i="60"/>
  <c r="D136" i="62" s="1"/>
  <c r="N136" i="62" s="1"/>
  <c r="E25" i="60"/>
  <c r="D138" i="62" s="1"/>
  <c r="N138" i="62" s="1"/>
  <c r="E31" i="60"/>
  <c r="D144" i="62" s="1"/>
  <c r="N144" i="62" s="1"/>
  <c r="E24" i="60"/>
  <c r="D137" i="62" s="1"/>
  <c r="N137" i="62" s="1"/>
  <c r="E28" i="60"/>
  <c r="D141" i="62" s="1"/>
  <c r="N141" i="62" s="1"/>
  <c r="E27" i="60"/>
  <c r="D140" i="62" s="1"/>
  <c r="N140" i="62" s="1"/>
  <c r="E30" i="60"/>
  <c r="D143" i="62" s="1"/>
  <c r="N143" i="62" s="1"/>
  <c r="E29" i="60"/>
  <c r="D142" i="62" s="1"/>
  <c r="N142" i="62" s="1"/>
  <c r="Q45" i="57"/>
  <c r="D106" i="62" s="1"/>
  <c r="N106" i="62" s="1"/>
  <c r="D61" i="63" s="1"/>
  <c r="Q43" i="57"/>
  <c r="D104" i="62" s="1"/>
  <c r="N104" i="62" s="1"/>
  <c r="D59" i="63" s="1"/>
  <c r="Q41" i="57"/>
  <c r="D102" i="62" s="1"/>
  <c r="N102" i="62" s="1"/>
  <c r="D57" i="63" s="1"/>
  <c r="Q42" i="57"/>
  <c r="D103" i="62" s="1"/>
  <c r="N103" i="62" s="1"/>
  <c r="D58" i="63" s="1"/>
  <c r="Q44" i="57"/>
  <c r="D105" i="62" s="1"/>
  <c r="N105" i="62" s="1"/>
  <c r="D60" i="63" s="1"/>
  <c r="J31" i="78"/>
  <c r="J59" i="78"/>
  <c r="I59" i="78"/>
  <c r="J53" i="78"/>
  <c r="I53" i="78"/>
  <c r="J19" i="78"/>
  <c r="I19" i="78"/>
  <c r="J47" i="78"/>
  <c r="I47" i="78"/>
  <c r="J43" i="78"/>
  <c r="I43" i="78"/>
  <c r="J49" i="78"/>
  <c r="I49" i="78"/>
  <c r="J57" i="78"/>
  <c r="I57" i="78"/>
  <c r="J20" i="78"/>
  <c r="I20" i="78"/>
  <c r="J50" i="78"/>
  <c r="I50" i="78"/>
  <c r="J29" i="78"/>
  <c r="I29" i="78"/>
  <c r="J56" i="78"/>
  <c r="I56" i="78"/>
  <c r="J44" i="78"/>
  <c r="I44" i="78"/>
  <c r="J27" i="78"/>
  <c r="I27" i="78"/>
  <c r="J45" i="78"/>
  <c r="I45" i="78"/>
  <c r="J51" i="78"/>
  <c r="I51" i="78"/>
  <c r="J55" i="78"/>
  <c r="I55" i="78"/>
  <c r="J21" i="78"/>
  <c r="J25" i="78"/>
  <c r="I41" i="78"/>
  <c r="J35" i="78"/>
  <c r="I37" i="78"/>
  <c r="J23" i="78"/>
  <c r="I32" i="78"/>
  <c r="I38" i="78"/>
  <c r="J26" i="78"/>
  <c r="I33" i="78"/>
  <c r="I39" i="78"/>
  <c r="J7" i="78"/>
  <c r="J13" i="78"/>
  <c r="I8" i="78"/>
  <c r="I14" i="78"/>
  <c r="I9" i="78"/>
  <c r="I15" i="78"/>
  <c r="I11" i="78"/>
  <c r="I17" i="78"/>
  <c r="L89" i="63" l="1"/>
  <c r="C7" i="75"/>
  <c r="C8" i="75"/>
  <c r="C9" i="75"/>
  <c r="C11" i="75"/>
  <c r="C12" i="75"/>
  <c r="C14" i="75"/>
  <c r="C17" i="75"/>
  <c r="C22" i="75"/>
  <c r="C23" i="75"/>
  <c r="C106" i="75"/>
  <c r="E149" i="108" l="1"/>
  <c r="F149" i="108" s="1"/>
  <c r="H149" i="108" s="1"/>
  <c r="J149" i="108" s="1"/>
  <c r="L149" i="108" s="1"/>
  <c r="E135" i="108"/>
  <c r="F135" i="108" s="1"/>
  <c r="H135" i="108" s="1"/>
  <c r="J135" i="108" s="1"/>
  <c r="L135" i="108" s="1"/>
  <c r="E52" i="108"/>
  <c r="F52" i="108" s="1"/>
  <c r="H52" i="108" s="1"/>
  <c r="J52" i="108" s="1"/>
  <c r="L52" i="108" s="1"/>
  <c r="E120" i="108"/>
  <c r="F120" i="108" s="1"/>
  <c r="H120" i="108" s="1"/>
  <c r="J120" i="108" s="1"/>
  <c r="L120" i="108" s="1"/>
  <c r="E106" i="108"/>
  <c r="F106" i="108" s="1"/>
  <c r="H106" i="108" s="1"/>
  <c r="J106" i="108" s="1"/>
  <c r="L106" i="108" s="1"/>
  <c r="E80" i="108"/>
  <c r="F80" i="108" s="1"/>
  <c r="H80" i="108" s="1"/>
  <c r="J80" i="108" s="1"/>
  <c r="L80" i="108" s="1"/>
  <c r="E63" i="108"/>
  <c r="F63" i="108" s="1"/>
  <c r="H63" i="108" s="1"/>
  <c r="J63" i="108" s="1"/>
  <c r="L63" i="108" s="1"/>
  <c r="E90" i="108"/>
  <c r="F90" i="108" s="1"/>
  <c r="H90" i="108" s="1"/>
  <c r="J90" i="108" s="1"/>
  <c r="L90" i="108" s="1"/>
  <c r="E71" i="108"/>
  <c r="F71" i="108" s="1"/>
  <c r="H71" i="108" s="1"/>
  <c r="J71" i="108" s="1"/>
  <c r="L71" i="108" s="1"/>
  <c r="E143" i="108"/>
  <c r="F143" i="108" s="1"/>
  <c r="H143" i="108" s="1"/>
  <c r="J143" i="108" s="1"/>
  <c r="L143" i="108" s="1"/>
  <c r="E47" i="108"/>
  <c r="F47" i="108" s="1"/>
  <c r="H47" i="108" s="1"/>
  <c r="J47" i="108" s="1"/>
  <c r="L47" i="108" s="1"/>
  <c r="E76" i="108"/>
  <c r="F76" i="108" s="1"/>
  <c r="H76" i="108" s="1"/>
  <c r="J76" i="108" s="1"/>
  <c r="L76" i="108" s="1"/>
  <c r="E58" i="108"/>
  <c r="F58" i="108" s="1"/>
  <c r="H58" i="108" s="1"/>
  <c r="J58" i="108" s="1"/>
  <c r="L58" i="108" s="1"/>
  <c r="E67" i="108"/>
  <c r="F67" i="108" s="1"/>
  <c r="H67" i="108" s="1"/>
  <c r="J67" i="108" s="1"/>
  <c r="L67" i="108" s="1"/>
  <c r="E86" i="108"/>
  <c r="F86" i="108" s="1"/>
  <c r="H86" i="108" s="1"/>
  <c r="J86" i="108" s="1"/>
  <c r="L86" i="108" s="1"/>
  <c r="E57" i="108"/>
  <c r="F57" i="108" s="1"/>
  <c r="H57" i="108" s="1"/>
  <c r="J57" i="108" s="1"/>
  <c r="L57" i="108" s="1"/>
  <c r="E46" i="108"/>
  <c r="F46" i="108" s="1"/>
  <c r="H46" i="108" s="1"/>
  <c r="J46" i="108" s="1"/>
  <c r="L46" i="108" s="1"/>
  <c r="H43" i="108"/>
  <c r="J43" i="108" s="1"/>
  <c r="L43" i="108" s="1"/>
  <c r="F50" i="108"/>
  <c r="H50" i="108" s="1"/>
  <c r="J50" i="108" s="1"/>
  <c r="L50" i="108" s="1"/>
  <c r="F54" i="108"/>
  <c r="H54" i="108" s="1"/>
  <c r="J54" i="108" s="1"/>
  <c r="L54" i="108" s="1"/>
  <c r="F142" i="108"/>
  <c r="H142" i="108" s="1"/>
  <c r="J142" i="108" s="1"/>
  <c r="L142" i="108" s="1"/>
  <c r="F95" i="108"/>
  <c r="H95" i="108" s="1"/>
  <c r="J95" i="108" s="1"/>
  <c r="L95" i="108" s="1"/>
  <c r="F82" i="108"/>
  <c r="H82" i="108" s="1"/>
  <c r="J82" i="108" s="1"/>
  <c r="L82" i="108" s="1"/>
  <c r="F49" i="108"/>
  <c r="H49" i="108" s="1"/>
  <c r="J49" i="108" s="1"/>
  <c r="L49" i="108" s="1"/>
  <c r="F60" i="108"/>
  <c r="H60" i="108" s="1"/>
  <c r="J60" i="108" s="1"/>
  <c r="L60" i="108" s="1"/>
  <c r="F92" i="108"/>
  <c r="H92" i="108" s="1"/>
  <c r="J92" i="108" s="1"/>
  <c r="L92" i="108" s="1"/>
  <c r="F125" i="108"/>
  <c r="H125" i="108" s="1"/>
  <c r="J125" i="108" s="1"/>
  <c r="L125" i="108" s="1"/>
  <c r="F44" i="108"/>
  <c r="H44" i="108" s="1"/>
  <c r="J44" i="108" s="1"/>
  <c r="L44" i="108" s="1"/>
  <c r="F79" i="108"/>
  <c r="H79" i="108" s="1"/>
  <c r="J79" i="108" s="1"/>
  <c r="L79" i="108" s="1"/>
  <c r="F103" i="108"/>
  <c r="H103" i="108" s="1"/>
  <c r="J103" i="108" s="1"/>
  <c r="L103" i="108" s="1"/>
  <c r="F130" i="108"/>
  <c r="H130" i="108" s="1"/>
  <c r="J130" i="108" s="1"/>
  <c r="L130" i="108" s="1"/>
  <c r="F109" i="108"/>
  <c r="H109" i="108" s="1"/>
  <c r="J109" i="108" s="1"/>
  <c r="L109" i="108" s="1"/>
  <c r="F127" i="108"/>
  <c r="H127" i="108" s="1"/>
  <c r="J127" i="108" s="1"/>
  <c r="L127" i="108" s="1"/>
  <c r="F59" i="108"/>
  <c r="H59" i="108" s="1"/>
  <c r="J59" i="108" s="1"/>
  <c r="L59" i="108" s="1"/>
  <c r="F85" i="108"/>
  <c r="H85" i="108" s="1"/>
  <c r="J85" i="108" s="1"/>
  <c r="L85" i="108" s="1"/>
  <c r="F55" i="108"/>
  <c r="H55" i="108" s="1"/>
  <c r="J55" i="108" s="1"/>
  <c r="L55" i="108" s="1"/>
  <c r="F124" i="108"/>
  <c r="H124" i="108" s="1"/>
  <c r="J124" i="108" s="1"/>
  <c r="L124" i="108" s="1"/>
  <c r="F89" i="108"/>
  <c r="H89" i="108" s="1"/>
  <c r="J89" i="108" s="1"/>
  <c r="L89" i="108" s="1"/>
  <c r="F114" i="108"/>
  <c r="H114" i="108" s="1"/>
  <c r="J114" i="108" s="1"/>
  <c r="L114" i="108" s="1"/>
  <c r="F69" i="108"/>
  <c r="H69" i="108" s="1"/>
  <c r="J69" i="108" s="1"/>
  <c r="L69" i="108" s="1"/>
  <c r="F101" i="108"/>
  <c r="H101" i="108" s="1"/>
  <c r="J101" i="108" s="1"/>
  <c r="L101" i="108" s="1"/>
  <c r="L102" i="108" s="1"/>
  <c r="B20" i="108" s="1"/>
  <c r="D20" i="108" s="1"/>
  <c r="F14" i="62" s="1"/>
  <c r="F134" i="108"/>
  <c r="H134" i="108" s="1"/>
  <c r="J134" i="108" s="1"/>
  <c r="L134" i="108" s="1"/>
  <c r="F48" i="108"/>
  <c r="H48" i="108" s="1"/>
  <c r="J48" i="108" s="1"/>
  <c r="L48" i="108" s="1"/>
  <c r="F88" i="108"/>
  <c r="H88" i="108" s="1"/>
  <c r="J88" i="108" s="1"/>
  <c r="L88" i="108" s="1"/>
  <c r="F108" i="108"/>
  <c r="H108" i="108" s="1"/>
  <c r="J108" i="108" s="1"/>
  <c r="L108" i="108" s="1"/>
  <c r="F140" i="108"/>
  <c r="H140" i="108" s="1"/>
  <c r="J140" i="108" s="1"/>
  <c r="L140" i="108" s="1"/>
  <c r="F113" i="108"/>
  <c r="H113" i="108" s="1"/>
  <c r="J113" i="108" s="1"/>
  <c r="L113" i="108" s="1"/>
  <c r="F137" i="108"/>
  <c r="H137" i="108" s="1"/>
  <c r="J137" i="108" s="1"/>
  <c r="L137" i="108" s="1"/>
  <c r="F77" i="108"/>
  <c r="H77" i="108" s="1"/>
  <c r="J77" i="108" s="1"/>
  <c r="L77" i="108" s="1"/>
  <c r="F94" i="108"/>
  <c r="H94" i="108" s="1"/>
  <c r="J94" i="108" s="1"/>
  <c r="L94" i="108" s="1"/>
  <c r="F68" i="108"/>
  <c r="H68" i="108" s="1"/>
  <c r="J68" i="108" s="1"/>
  <c r="L68" i="108" s="1"/>
  <c r="F138" i="108"/>
  <c r="H138" i="108" s="1"/>
  <c r="J138" i="108" s="1"/>
  <c r="L138" i="108" s="1"/>
  <c r="F99" i="108"/>
  <c r="H99" i="108" s="1"/>
  <c r="J99" i="108" s="1"/>
  <c r="L99" i="108" s="1"/>
  <c r="F119" i="108"/>
  <c r="H119" i="108" s="1"/>
  <c r="J119" i="108" s="1"/>
  <c r="L119" i="108" s="1"/>
  <c r="F78" i="108"/>
  <c r="H78" i="108" s="1"/>
  <c r="J78" i="108" s="1"/>
  <c r="L78" i="108" s="1"/>
  <c r="F111" i="108"/>
  <c r="H111" i="108" s="1"/>
  <c r="J111" i="108" s="1"/>
  <c r="L111" i="108" s="1"/>
  <c r="F139" i="108"/>
  <c r="H139" i="108" s="1"/>
  <c r="J139" i="108" s="1"/>
  <c r="L139" i="108" s="1"/>
  <c r="F61" i="108"/>
  <c r="H61" i="108" s="1"/>
  <c r="J61" i="108" s="1"/>
  <c r="L61" i="108" s="1"/>
  <c r="F93" i="108"/>
  <c r="H93" i="108" s="1"/>
  <c r="J93" i="108" s="1"/>
  <c r="L93" i="108" s="1"/>
  <c r="F117" i="108"/>
  <c r="H117" i="108" s="1"/>
  <c r="J117" i="108" s="1"/>
  <c r="L117" i="108" s="1"/>
  <c r="F98" i="108"/>
  <c r="H98" i="108" s="1"/>
  <c r="J98" i="108" s="1"/>
  <c r="L98" i="108" s="1"/>
  <c r="F118" i="108"/>
  <c r="H118" i="108" s="1"/>
  <c r="J118" i="108" s="1"/>
  <c r="L118" i="108" s="1"/>
  <c r="F110" i="108"/>
  <c r="H110" i="108" s="1"/>
  <c r="J110" i="108" s="1"/>
  <c r="L110" i="108" s="1"/>
  <c r="F128" i="108"/>
  <c r="H128" i="108" s="1"/>
  <c r="J128" i="108" s="1"/>
  <c r="L128" i="108" s="1"/>
  <c r="F148" i="108"/>
  <c r="H148" i="108" s="1"/>
  <c r="J148" i="108" s="1"/>
  <c r="L148" i="108" s="1"/>
  <c r="F104" i="108"/>
  <c r="H104" i="108" s="1"/>
  <c r="J104" i="108" s="1"/>
  <c r="L104" i="108" s="1"/>
  <c r="F105" i="108"/>
  <c r="H105" i="108" s="1"/>
  <c r="J105" i="108" s="1"/>
  <c r="L105" i="108" s="1"/>
  <c r="F133" i="108"/>
  <c r="H133" i="108" s="1"/>
  <c r="J133" i="108" s="1"/>
  <c r="L133" i="108" s="1"/>
  <c r="F70" i="108"/>
  <c r="H70" i="108" s="1"/>
  <c r="J70" i="108" s="1"/>
  <c r="L70" i="108" s="1"/>
  <c r="F123" i="108"/>
  <c r="H123" i="108" s="1"/>
  <c r="J123" i="108" s="1"/>
  <c r="L123" i="108" s="1"/>
  <c r="F73" i="108"/>
  <c r="H73" i="108" s="1"/>
  <c r="J73" i="108" s="1"/>
  <c r="L73" i="108" s="1"/>
  <c r="F87" i="108"/>
  <c r="H87" i="108" s="1"/>
  <c r="J87" i="108" s="1"/>
  <c r="L87" i="108" s="1"/>
  <c r="F97" i="108"/>
  <c r="H97" i="108" s="1"/>
  <c r="J97" i="108" s="1"/>
  <c r="L97" i="108" s="1"/>
  <c r="F147" i="108"/>
  <c r="H147" i="108" s="1"/>
  <c r="J147" i="108" s="1"/>
  <c r="L147" i="108" s="1"/>
  <c r="F115" i="108"/>
  <c r="H115" i="108" s="1"/>
  <c r="J115" i="108" s="1"/>
  <c r="L115" i="108" s="1"/>
  <c r="F122" i="108"/>
  <c r="H122" i="108" s="1"/>
  <c r="J122" i="108" s="1"/>
  <c r="L122" i="108" s="1"/>
  <c r="E146" i="108"/>
  <c r="F146" i="108" s="1"/>
  <c r="H146" i="108" s="1"/>
  <c r="J146" i="108" s="1"/>
  <c r="L146" i="108" s="1"/>
  <c r="E132" i="108"/>
  <c r="F132" i="108" s="1"/>
  <c r="H132" i="108" s="1"/>
  <c r="J132" i="108" s="1"/>
  <c r="L132" i="108" s="1"/>
  <c r="E144" i="108"/>
  <c r="F144" i="108" s="1"/>
  <c r="H144" i="108" s="1"/>
  <c r="J144" i="108" s="1"/>
  <c r="L144" i="108" s="1"/>
  <c r="E84" i="108"/>
  <c r="F84" i="108" s="1"/>
  <c r="H84" i="108" s="1"/>
  <c r="J84" i="108" s="1"/>
  <c r="L84" i="108" s="1"/>
  <c r="E129" i="108"/>
  <c r="F129" i="108" s="1"/>
  <c r="H129" i="108" s="1"/>
  <c r="J129" i="108" s="1"/>
  <c r="L129" i="108" s="1"/>
  <c r="E74" i="108"/>
  <c r="F74" i="108" s="1"/>
  <c r="H74" i="108" s="1"/>
  <c r="J74" i="108" s="1"/>
  <c r="L74" i="108" s="1"/>
  <c r="E65" i="108"/>
  <c r="F65" i="108" s="1"/>
  <c r="H65" i="108" s="1"/>
  <c r="J65" i="108" s="1"/>
  <c r="L65" i="108" s="1"/>
  <c r="E51" i="108"/>
  <c r="F51" i="108" s="1"/>
  <c r="H51" i="108" s="1"/>
  <c r="J51" i="108" s="1"/>
  <c r="L51" i="108" s="1"/>
  <c r="E62" i="108"/>
  <c r="F62" i="108" s="1"/>
  <c r="H62" i="108" s="1"/>
  <c r="J62" i="108" s="1"/>
  <c r="L62" i="108" s="1"/>
  <c r="E141" i="108"/>
  <c r="F141" i="108" s="1"/>
  <c r="H141" i="108" s="1"/>
  <c r="J141" i="108" s="1"/>
  <c r="L141" i="108" s="1"/>
  <c r="E126" i="108"/>
  <c r="F126" i="108" s="1"/>
  <c r="H126" i="108" s="1"/>
  <c r="J126" i="108" s="1"/>
  <c r="L126" i="108" s="1"/>
  <c r="E112" i="108"/>
  <c r="F112" i="108" s="1"/>
  <c r="H112" i="108" s="1"/>
  <c r="J112" i="108" s="1"/>
  <c r="L112" i="108" s="1"/>
  <c r="E75" i="108"/>
  <c r="F75" i="108" s="1"/>
  <c r="H75" i="108" s="1"/>
  <c r="J75" i="108" s="1"/>
  <c r="L75" i="108" s="1"/>
  <c r="E66" i="108"/>
  <c r="F66" i="108" s="1"/>
  <c r="H66" i="108" s="1"/>
  <c r="J66" i="108" s="1"/>
  <c r="L66" i="108" s="1"/>
  <c r="E96" i="108"/>
  <c r="F96" i="108" s="1"/>
  <c r="H96" i="108" s="1"/>
  <c r="J96" i="108" s="1"/>
  <c r="L96" i="108" s="1"/>
  <c r="E83" i="108"/>
  <c r="F83" i="108" s="1"/>
  <c r="H83" i="108" s="1"/>
  <c r="J83" i="108" s="1"/>
  <c r="L83" i="108" s="1"/>
  <c r="E56" i="108"/>
  <c r="F56" i="108" s="1"/>
  <c r="H56" i="108" s="1"/>
  <c r="J56" i="108" s="1"/>
  <c r="L56" i="108" s="1"/>
  <c r="E45" i="108"/>
  <c r="F45" i="108" s="1"/>
  <c r="H45" i="108" s="1"/>
  <c r="J45" i="108" s="1"/>
  <c r="L45" i="108" s="1"/>
  <c r="D14" i="62" l="1"/>
  <c r="E14" i="62"/>
  <c r="L81" i="108"/>
  <c r="B17" i="108" s="1"/>
  <c r="D17" i="108" s="1"/>
  <c r="F11" i="62" s="1"/>
  <c r="L136" i="108"/>
  <c r="B25" i="108" s="1"/>
  <c r="D25" i="108" s="1"/>
  <c r="F19" i="62" s="1"/>
  <c r="L72" i="108"/>
  <c r="B16" i="108" s="1"/>
  <c r="D16" i="108" s="1"/>
  <c r="F10" i="62" s="1"/>
  <c r="L91" i="108"/>
  <c r="B18" i="108" s="1"/>
  <c r="D18" i="108" s="1"/>
  <c r="F12" i="62" s="1"/>
  <c r="L150" i="108"/>
  <c r="B27" i="108" s="1"/>
  <c r="D27" i="108" s="1"/>
  <c r="F21" i="62" s="1"/>
  <c r="L116" i="108"/>
  <c r="B22" i="108" s="1"/>
  <c r="D22" i="108" s="1"/>
  <c r="F16" i="62" s="1"/>
  <c r="L107" i="108"/>
  <c r="B21" i="108" s="1"/>
  <c r="D21" i="108" s="1"/>
  <c r="F15" i="62" s="1"/>
  <c r="L100" i="108"/>
  <c r="B19" i="108" s="1"/>
  <c r="D19" i="108" s="1"/>
  <c r="F13" i="62" s="1"/>
  <c r="L131" i="108"/>
  <c r="B24" i="108" s="1"/>
  <c r="D24" i="108" s="1"/>
  <c r="F18" i="62" s="1"/>
  <c r="L121" i="108"/>
  <c r="B23" i="108" s="1"/>
  <c r="D23" i="108" s="1"/>
  <c r="F17" i="62" s="1"/>
  <c r="L145" i="108"/>
  <c r="B26" i="108" s="1"/>
  <c r="D26" i="108" s="1"/>
  <c r="F20" i="62" s="1"/>
  <c r="L53" i="108"/>
  <c r="B14" i="108" s="1"/>
  <c r="D14" i="108" s="1"/>
  <c r="F8" i="62" s="1"/>
  <c r="L64" i="108"/>
  <c r="B15" i="108" s="1"/>
  <c r="D15" i="108" s="1"/>
  <c r="F9" i="62" s="1"/>
  <c r="D18" i="62" l="1"/>
  <c r="B19" i="63" s="1"/>
  <c r="B146" i="63" s="1"/>
  <c r="F146" i="63" s="1"/>
  <c r="E18" i="62"/>
  <c r="D20" i="62"/>
  <c r="E20" i="62"/>
  <c r="D17" i="62"/>
  <c r="B18" i="63" s="1"/>
  <c r="E17" i="62"/>
  <c r="D15" i="63"/>
  <c r="D12" i="62"/>
  <c r="B13" i="63" s="1"/>
  <c r="E12" i="62"/>
  <c r="D19" i="62"/>
  <c r="E19" i="62"/>
  <c r="C20" i="63" s="1"/>
  <c r="C148" i="63" s="1"/>
  <c r="D9" i="62"/>
  <c r="B10" i="63" s="1"/>
  <c r="E9" i="62"/>
  <c r="D16" i="62"/>
  <c r="E16" i="62"/>
  <c r="D10" i="62"/>
  <c r="B11" i="63" s="1"/>
  <c r="E10" i="62"/>
  <c r="C11" i="63" s="1"/>
  <c r="C87" i="63" s="1"/>
  <c r="G87" i="63" s="1"/>
  <c r="D13" i="62"/>
  <c r="B14" i="63" s="1"/>
  <c r="B98" i="63" s="1"/>
  <c r="F98" i="63" s="1"/>
  <c r="E13" i="62"/>
  <c r="D15" i="62"/>
  <c r="E15" i="62"/>
  <c r="C16" i="63" s="1"/>
  <c r="D11" i="62"/>
  <c r="B12" i="63" s="1"/>
  <c r="E11" i="62"/>
  <c r="C12" i="63" s="1"/>
  <c r="C88" i="63" s="1"/>
  <c r="G88" i="63" s="1"/>
  <c r="D8" i="62"/>
  <c r="B9" i="63" s="1"/>
  <c r="E8" i="62"/>
  <c r="D21" i="62"/>
  <c r="B22" i="63" s="1"/>
  <c r="E21" i="62"/>
  <c r="C15" i="63"/>
  <c r="B20" i="63"/>
  <c r="D11" i="63"/>
  <c r="B15" i="63"/>
  <c r="D16" i="63"/>
  <c r="D22" i="63"/>
  <c r="D73" i="63" l="1"/>
  <c r="D76" i="63"/>
  <c r="L178" i="63" s="1"/>
  <c r="D72" i="63"/>
  <c r="D71" i="63"/>
  <c r="D68" i="63"/>
  <c r="D74" i="63"/>
  <c r="L131" i="63" s="1"/>
  <c r="D69" i="63"/>
  <c r="D70" i="63"/>
  <c r="D75" i="63"/>
  <c r="L151" i="63" s="1"/>
  <c r="E15" i="63"/>
  <c r="D21" i="63"/>
  <c r="L177" i="63" s="1"/>
  <c r="D10" i="63"/>
  <c r="D20" i="63"/>
  <c r="E20" i="63" s="1"/>
  <c r="C22" i="63"/>
  <c r="C174" i="63" s="1"/>
  <c r="G174" i="63" s="1"/>
  <c r="C14" i="63"/>
  <c r="C111" i="63" s="1"/>
  <c r="G111" i="63" s="1"/>
  <c r="D12" i="63"/>
  <c r="E12" i="63" s="1"/>
  <c r="D9" i="63"/>
  <c r="D18" i="63"/>
  <c r="D14" i="63"/>
  <c r="L109" i="63" s="1"/>
  <c r="D19" i="63"/>
  <c r="D17" i="63"/>
  <c r="D13" i="63"/>
  <c r="C18" i="63"/>
  <c r="C135" i="63" s="1"/>
  <c r="G135" i="63" s="1"/>
  <c r="C9" i="63"/>
  <c r="C85" i="63" s="1"/>
  <c r="C156" i="63"/>
  <c r="G156" i="63" s="1"/>
  <c r="C150" i="63"/>
  <c r="G150" i="63" s="1"/>
  <c r="C21" i="63"/>
  <c r="C170" i="63" s="1"/>
  <c r="G170" i="63" s="1"/>
  <c r="B17" i="63"/>
  <c r="B122" i="63" s="1"/>
  <c r="C161" i="63"/>
  <c r="G161" i="63" s="1"/>
  <c r="C147" i="63"/>
  <c r="G147" i="63" s="1"/>
  <c r="C159" i="63"/>
  <c r="G159" i="63" s="1"/>
  <c r="C155" i="63"/>
  <c r="G155" i="63" s="1"/>
  <c r="C157" i="63"/>
  <c r="G157" i="63" s="1"/>
  <c r="C151" i="63"/>
  <c r="G151" i="63" s="1"/>
  <c r="C154" i="63"/>
  <c r="G154" i="63" s="1"/>
  <c r="C152" i="63"/>
  <c r="G152" i="63" s="1"/>
  <c r="C149" i="63"/>
  <c r="G149" i="63" s="1"/>
  <c r="C153" i="63"/>
  <c r="G153" i="63" s="1"/>
  <c r="C160" i="63"/>
  <c r="G160" i="63" s="1"/>
  <c r="C13" i="63"/>
  <c r="C89" i="63" s="1"/>
  <c r="G89" i="63" s="1"/>
  <c r="C158" i="63"/>
  <c r="G158" i="63" s="1"/>
  <c r="E11" i="63"/>
  <c r="C19" i="63"/>
  <c r="C146" i="63" s="1"/>
  <c r="G146" i="63" s="1"/>
  <c r="C17" i="63"/>
  <c r="C122" i="63" s="1"/>
  <c r="G122" i="63" s="1"/>
  <c r="C10" i="63"/>
  <c r="C86" i="63" s="1"/>
  <c r="G86" i="63" s="1"/>
  <c r="B183" i="63"/>
  <c r="F183" i="63" s="1"/>
  <c r="B185" i="63"/>
  <c r="F185" i="63" s="1"/>
  <c r="B177" i="63"/>
  <c r="F177" i="63" s="1"/>
  <c r="B175" i="63"/>
  <c r="F175" i="63" s="1"/>
  <c r="B174" i="63"/>
  <c r="F174" i="63" s="1"/>
  <c r="B171" i="63"/>
  <c r="F171" i="63" s="1"/>
  <c r="B184" i="63"/>
  <c r="F184" i="63" s="1"/>
  <c r="B172" i="63"/>
  <c r="F172" i="63" s="1"/>
  <c r="B181" i="63"/>
  <c r="F181" i="63" s="1"/>
  <c r="B176" i="63"/>
  <c r="F176" i="63" s="1"/>
  <c r="B180" i="63"/>
  <c r="F180" i="63" s="1"/>
  <c r="B179" i="63"/>
  <c r="F179" i="63" s="1"/>
  <c r="B173" i="63"/>
  <c r="F173" i="63" s="1"/>
  <c r="B182" i="63"/>
  <c r="F182" i="63" s="1"/>
  <c r="B178" i="63"/>
  <c r="F178" i="63" s="1"/>
  <c r="B16" i="63"/>
  <c r="B158" i="63"/>
  <c r="F158" i="63" s="1"/>
  <c r="B148" i="63"/>
  <c r="F148" i="63" s="1"/>
  <c r="B156" i="63"/>
  <c r="F156" i="63" s="1"/>
  <c r="B154" i="63"/>
  <c r="F154" i="63" s="1"/>
  <c r="B149" i="63"/>
  <c r="F149" i="63" s="1"/>
  <c r="B152" i="63"/>
  <c r="F152" i="63" s="1"/>
  <c r="B151" i="63"/>
  <c r="F151" i="63" s="1"/>
  <c r="B159" i="63"/>
  <c r="F159" i="63" s="1"/>
  <c r="B161" i="63"/>
  <c r="F161" i="63" s="1"/>
  <c r="B147" i="63"/>
  <c r="F147" i="63" s="1"/>
  <c r="B157" i="63"/>
  <c r="F157" i="63" s="1"/>
  <c r="B153" i="63"/>
  <c r="F153" i="63" s="1"/>
  <c r="B155" i="63"/>
  <c r="F155" i="63" s="1"/>
  <c r="B160" i="63"/>
  <c r="F160" i="63" s="1"/>
  <c r="B150" i="63"/>
  <c r="F150" i="63" s="1"/>
  <c r="B102" i="63"/>
  <c r="F102" i="63" s="1"/>
  <c r="B100" i="63"/>
  <c r="F100" i="63" s="1"/>
  <c r="B106" i="63"/>
  <c r="F106" i="63" s="1"/>
  <c r="B108" i="63"/>
  <c r="F108" i="63" s="1"/>
  <c r="B105" i="63"/>
  <c r="F105" i="63" s="1"/>
  <c r="B112" i="63"/>
  <c r="F112" i="63" s="1"/>
  <c r="B111" i="63"/>
  <c r="F111" i="63" s="1"/>
  <c r="B99" i="63"/>
  <c r="F99" i="63" s="1"/>
  <c r="B109" i="63"/>
  <c r="F109" i="63" s="1"/>
  <c r="B113" i="63"/>
  <c r="F113" i="63" s="1"/>
  <c r="B103" i="63"/>
  <c r="F103" i="63" s="1"/>
  <c r="B125" i="63"/>
  <c r="F125" i="63" s="1"/>
  <c r="B131" i="63"/>
  <c r="F131" i="63" s="1"/>
  <c r="B134" i="63"/>
  <c r="F134" i="63" s="1"/>
  <c r="B133" i="63"/>
  <c r="F133" i="63" s="1"/>
  <c r="B123" i="63"/>
  <c r="F123" i="63" s="1"/>
  <c r="B128" i="63"/>
  <c r="F128" i="63" s="1"/>
  <c r="B126" i="63"/>
  <c r="F126" i="63" s="1"/>
  <c r="B137" i="63"/>
  <c r="F137" i="63" s="1"/>
  <c r="B135" i="63"/>
  <c r="F135" i="63" s="1"/>
  <c r="B130" i="63"/>
  <c r="F130" i="63" s="1"/>
  <c r="B129" i="63"/>
  <c r="F129" i="63" s="1"/>
  <c r="B136" i="63"/>
  <c r="F136" i="63" s="1"/>
  <c r="B127" i="63"/>
  <c r="F127" i="63" s="1"/>
  <c r="B124" i="63"/>
  <c r="F124" i="63" s="1"/>
  <c r="B132" i="63"/>
  <c r="F132" i="63" s="1"/>
  <c r="B21" i="63"/>
  <c r="B170" i="63" s="1"/>
  <c r="F170" i="63" s="1"/>
  <c r="G148" i="63"/>
  <c r="L88" i="63" l="1"/>
  <c r="L110" i="63"/>
  <c r="D107" i="63"/>
  <c r="D99" i="63"/>
  <c r="D111" i="63"/>
  <c r="D113" i="63"/>
  <c r="D108" i="63"/>
  <c r="D106" i="63"/>
  <c r="D112" i="63"/>
  <c r="D109" i="63"/>
  <c r="D104" i="63"/>
  <c r="D100" i="63"/>
  <c r="D103" i="63"/>
  <c r="D105" i="63"/>
  <c r="D110" i="63"/>
  <c r="D101" i="63"/>
  <c r="D102" i="63"/>
  <c r="L112" i="63"/>
  <c r="M111" i="63" s="1"/>
  <c r="L180" i="63"/>
  <c r="M179" i="63" s="1"/>
  <c r="L150" i="63"/>
  <c r="L153" i="63" s="1"/>
  <c r="M152" i="63" s="1"/>
  <c r="L130" i="63"/>
  <c r="L133" i="63" s="1"/>
  <c r="M132" i="63" s="1"/>
  <c r="C178" i="63"/>
  <c r="G178" i="63" s="1"/>
  <c r="E9" i="63"/>
  <c r="C176" i="63"/>
  <c r="G176" i="63" s="1"/>
  <c r="C109" i="63"/>
  <c r="G109" i="63" s="1"/>
  <c r="C108" i="63"/>
  <c r="G108" i="63" s="1"/>
  <c r="C112" i="63"/>
  <c r="G112" i="63" s="1"/>
  <c r="C102" i="63"/>
  <c r="G102" i="63" s="1"/>
  <c r="C126" i="63"/>
  <c r="G126" i="63" s="1"/>
  <c r="C130" i="63"/>
  <c r="G130" i="63" s="1"/>
  <c r="C127" i="63"/>
  <c r="G127" i="63" s="1"/>
  <c r="C173" i="63"/>
  <c r="G173" i="63" s="1"/>
  <c r="C172" i="63"/>
  <c r="G172" i="63" s="1"/>
  <c r="C171" i="63"/>
  <c r="G171" i="63" s="1"/>
  <c r="C185" i="63"/>
  <c r="G185" i="63" s="1"/>
  <c r="C124" i="63"/>
  <c r="G124" i="63" s="1"/>
  <c r="C131" i="63"/>
  <c r="G131" i="63" s="1"/>
  <c r="C129" i="63"/>
  <c r="G129" i="63" s="1"/>
  <c r="C182" i="63"/>
  <c r="G182" i="63" s="1"/>
  <c r="C181" i="63"/>
  <c r="G181" i="63" s="1"/>
  <c r="C98" i="63"/>
  <c r="G98" i="63" s="1"/>
  <c r="C106" i="63"/>
  <c r="G106" i="63" s="1"/>
  <c r="C133" i="63"/>
  <c r="G133" i="63" s="1"/>
  <c r="C137" i="63"/>
  <c r="G137" i="63" s="1"/>
  <c r="C125" i="63"/>
  <c r="G125" i="63" s="1"/>
  <c r="C175" i="63"/>
  <c r="G175" i="63" s="1"/>
  <c r="C183" i="63"/>
  <c r="G183" i="63" s="1"/>
  <c r="C105" i="63"/>
  <c r="G105" i="63" s="1"/>
  <c r="C103" i="63"/>
  <c r="G103" i="63" s="1"/>
  <c r="C100" i="63"/>
  <c r="G100" i="63" s="1"/>
  <c r="E18" i="63"/>
  <c r="C123" i="63"/>
  <c r="G123" i="63" s="1"/>
  <c r="C132" i="63"/>
  <c r="G132" i="63" s="1"/>
  <c r="C184" i="63"/>
  <c r="G184" i="63" s="1"/>
  <c r="E14" i="63"/>
  <c r="C104" i="63"/>
  <c r="G104" i="63" s="1"/>
  <c r="C101" i="63"/>
  <c r="G101" i="63" s="1"/>
  <c r="C128" i="63"/>
  <c r="G128" i="63" s="1"/>
  <c r="C99" i="63"/>
  <c r="G99" i="63" s="1"/>
  <c r="E22" i="63"/>
  <c r="C134" i="63"/>
  <c r="G134" i="63" s="1"/>
  <c r="C180" i="63"/>
  <c r="G180" i="63" s="1"/>
  <c r="C177" i="63"/>
  <c r="G177" i="63" s="1"/>
  <c r="C110" i="63"/>
  <c r="G110" i="63" s="1"/>
  <c r="C113" i="63"/>
  <c r="G113" i="63" s="1"/>
  <c r="C136" i="63"/>
  <c r="G136" i="63" s="1"/>
  <c r="C179" i="63"/>
  <c r="G179" i="63" s="1"/>
  <c r="C107" i="63"/>
  <c r="G107" i="63" s="1"/>
  <c r="L87" i="63"/>
  <c r="E19" i="63"/>
  <c r="E10" i="63"/>
  <c r="E13" i="63"/>
  <c r="E21" i="63"/>
  <c r="F122" i="63"/>
  <c r="B138" i="63"/>
  <c r="B107" i="63"/>
  <c r="F107" i="63" s="1"/>
  <c r="B110" i="63"/>
  <c r="F110" i="63" s="1"/>
  <c r="B104" i="63"/>
  <c r="F104" i="63" s="1"/>
  <c r="B101" i="63"/>
  <c r="F101" i="63" s="1"/>
  <c r="E17" i="63"/>
  <c r="E16" i="63"/>
  <c r="G162" i="63"/>
  <c r="W87" i="63" s="1"/>
  <c r="G85" i="63"/>
  <c r="G90" i="63" s="1"/>
  <c r="W84" i="63" s="1"/>
  <c r="G93" i="63"/>
  <c r="G94" i="63" s="1"/>
  <c r="B36" i="63"/>
  <c r="D24" i="56"/>
  <c r="D23" i="56"/>
  <c r="D22" i="56"/>
  <c r="D21" i="56"/>
  <c r="D20" i="56"/>
  <c r="D19" i="56"/>
  <c r="D18" i="56"/>
  <c r="D17" i="56"/>
  <c r="D16" i="56"/>
  <c r="L90" i="63" l="1"/>
  <c r="M89" i="63" s="1"/>
  <c r="G138" i="63"/>
  <c r="G141" i="63" s="1"/>
  <c r="G186" i="63"/>
  <c r="G189" i="63" s="1"/>
  <c r="G114" i="63"/>
  <c r="G117" i="63" s="1"/>
  <c r="G165" i="63"/>
  <c r="B85" i="63"/>
  <c r="F85" i="63" s="1"/>
  <c r="B88" i="63"/>
  <c r="F88" i="63" s="1"/>
  <c r="B87" i="63"/>
  <c r="F87" i="63" s="1"/>
  <c r="B86" i="63"/>
  <c r="F86" i="63" s="1"/>
  <c r="B89" i="63"/>
  <c r="F89" i="63" s="1"/>
  <c r="W85" i="63" l="1"/>
  <c r="W86" i="63"/>
  <c r="W88" i="63"/>
  <c r="F90" i="63"/>
  <c r="F93" i="63" s="1"/>
  <c r="D159" i="63"/>
  <c r="H159" i="63" s="1"/>
  <c r="D148" i="63"/>
  <c r="H148" i="63" s="1"/>
  <c r="D150" i="63"/>
  <c r="H150" i="63" s="1"/>
  <c r="D157" i="63"/>
  <c r="H157" i="63" s="1"/>
  <c r="D155" i="63"/>
  <c r="H155" i="63" s="1"/>
  <c r="D156" i="63"/>
  <c r="H156" i="63" s="1"/>
  <c r="D154" i="63"/>
  <c r="H154" i="63" s="1"/>
  <c r="D147" i="63"/>
  <c r="H147" i="63" s="1"/>
  <c r="D146" i="63"/>
  <c r="H146" i="63" s="1"/>
  <c r="D153" i="63"/>
  <c r="H153" i="63" s="1"/>
  <c r="D151" i="63"/>
  <c r="H151" i="63" s="1"/>
  <c r="D152" i="63"/>
  <c r="H152" i="63" s="1"/>
  <c r="D158" i="63"/>
  <c r="H158" i="63" s="1"/>
  <c r="D161" i="63"/>
  <c r="H161" i="63" s="1"/>
  <c r="D149" i="63"/>
  <c r="H149" i="63" s="1"/>
  <c r="D160" i="63"/>
  <c r="H160" i="63" s="1"/>
  <c r="H110" i="63"/>
  <c r="H103" i="63"/>
  <c r="H112" i="63"/>
  <c r="H113" i="63"/>
  <c r="D98" i="63"/>
  <c r="H111" i="63"/>
  <c r="H100" i="63"/>
  <c r="H101" i="63"/>
  <c r="H108" i="63"/>
  <c r="H109" i="63"/>
  <c r="H102" i="63"/>
  <c r="H99" i="63"/>
  <c r="H104" i="63"/>
  <c r="H105" i="63"/>
  <c r="H107" i="63"/>
  <c r="H106" i="63"/>
  <c r="D123" i="63"/>
  <c r="H123" i="63" s="1"/>
  <c r="D132" i="63"/>
  <c r="H132" i="63" s="1"/>
  <c r="D135" i="63"/>
  <c r="H135" i="63" s="1"/>
  <c r="D128" i="63"/>
  <c r="H128" i="63" s="1"/>
  <c r="D131" i="63"/>
  <c r="H131" i="63" s="1"/>
  <c r="D122" i="63"/>
  <c r="D126" i="63"/>
  <c r="H126" i="63" s="1"/>
  <c r="D124" i="63"/>
  <c r="H124" i="63" s="1"/>
  <c r="D130" i="63"/>
  <c r="H130" i="63" s="1"/>
  <c r="D127" i="63"/>
  <c r="H127" i="63" s="1"/>
  <c r="D125" i="63"/>
  <c r="H125" i="63" s="1"/>
  <c r="D136" i="63"/>
  <c r="H136" i="63" s="1"/>
  <c r="D129" i="63"/>
  <c r="H129" i="63" s="1"/>
  <c r="D133" i="63"/>
  <c r="H133" i="63" s="1"/>
  <c r="D134" i="63"/>
  <c r="H134" i="63" s="1"/>
  <c r="D137" i="63"/>
  <c r="H137" i="63" s="1"/>
  <c r="F162" i="63"/>
  <c r="F165" i="63" s="1"/>
  <c r="F186" i="63"/>
  <c r="F189" i="63" s="1"/>
  <c r="F138" i="63"/>
  <c r="F114" i="63"/>
  <c r="H98" i="63" l="1"/>
  <c r="H114" i="63" s="1"/>
  <c r="D114" i="63"/>
  <c r="H122" i="63"/>
  <c r="H138" i="63" s="1"/>
  <c r="I138" i="63" s="1"/>
  <c r="I141" i="63" s="1"/>
  <c r="D138" i="63"/>
  <c r="F141" i="63"/>
  <c r="V86" i="63"/>
  <c r="V87" i="63"/>
  <c r="V85" i="63"/>
  <c r="F117" i="63"/>
  <c r="F118" i="63" s="1"/>
  <c r="V84" i="63"/>
  <c r="F94" i="63"/>
  <c r="V88" i="63"/>
  <c r="D86" i="63"/>
  <c r="H86" i="63" s="1"/>
  <c r="D88" i="63"/>
  <c r="H88" i="63" s="1"/>
  <c r="D87" i="63"/>
  <c r="H87" i="63" s="1"/>
  <c r="D89" i="63"/>
  <c r="H89" i="63" s="1"/>
  <c r="D85" i="63"/>
  <c r="H162" i="63"/>
  <c r="D171" i="63"/>
  <c r="H171" i="63" s="1"/>
  <c r="D170" i="63"/>
  <c r="H170" i="63" s="1"/>
  <c r="D177" i="63"/>
  <c r="H177" i="63" s="1"/>
  <c r="D183" i="63"/>
  <c r="H183" i="63" s="1"/>
  <c r="D184" i="63"/>
  <c r="H184" i="63" s="1"/>
  <c r="D175" i="63"/>
  <c r="H175" i="63" s="1"/>
  <c r="D180" i="63"/>
  <c r="H180" i="63" s="1"/>
  <c r="D174" i="63"/>
  <c r="H174" i="63" s="1"/>
  <c r="D172" i="63"/>
  <c r="H172" i="63" s="1"/>
  <c r="D176" i="63"/>
  <c r="H176" i="63" s="1"/>
  <c r="D173" i="63"/>
  <c r="H173" i="63" s="1"/>
  <c r="D185" i="63"/>
  <c r="H185" i="63" s="1"/>
  <c r="D181" i="63"/>
  <c r="H181" i="63" s="1"/>
  <c r="D179" i="63"/>
  <c r="H179" i="63" s="1"/>
  <c r="D182" i="63"/>
  <c r="H182" i="63" s="1"/>
  <c r="D178" i="63"/>
  <c r="H178" i="63" s="1"/>
  <c r="H117" i="63" l="1"/>
  <c r="H118" i="63" s="1"/>
  <c r="I114" i="63"/>
  <c r="I117" i="63" s="1"/>
  <c r="H85" i="63"/>
  <c r="H90" i="63" s="1"/>
  <c r="H93" i="63" s="1"/>
  <c r="H94" i="63" s="1"/>
  <c r="D90" i="63"/>
  <c r="X87" i="63"/>
  <c r="H165" i="63"/>
  <c r="I162" i="63"/>
  <c r="I165" i="63" s="1"/>
  <c r="X85" i="63"/>
  <c r="Y85" i="63" s="1"/>
  <c r="H141" i="63"/>
  <c r="H142" i="63" s="1"/>
  <c r="X86" i="63"/>
  <c r="H186" i="63"/>
  <c r="H189" i="63" s="1"/>
  <c r="Z85" i="63" l="1"/>
  <c r="Y87" i="63"/>
  <c r="Z87" i="63" s="1"/>
  <c r="Y86" i="63"/>
  <c r="Z86" i="63" s="1"/>
  <c r="X84" i="63"/>
  <c r="Y84" i="63" s="1"/>
  <c r="Z84" i="63" s="1"/>
  <c r="I90" i="63"/>
  <c r="I93" i="63" s="1"/>
  <c r="I94" i="63" s="1"/>
  <c r="X88" i="63"/>
  <c r="I186" i="63"/>
  <c r="I189" i="63" s="1"/>
  <c r="Y88" i="63" l="1"/>
  <c r="Z88" i="6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Cumplido-Marín, Laura</author>
  </authors>
  <commentList>
    <comment ref="N57" authorId="0" shapeId="0" xr:uid="{00000000-0006-0000-0100-000001000000}">
      <text>
        <r>
          <rPr>
            <b/>
            <sz val="9"/>
            <color indexed="81"/>
            <rFont val="Tahoma"/>
            <family val="2"/>
          </rPr>
          <t>Cumplido-Marín, Laura:</t>
        </r>
        <r>
          <rPr>
            <sz val="9"/>
            <color indexed="81"/>
            <rFont val="Tahoma"/>
            <family val="2"/>
          </rPr>
          <t xml:space="preserve">
Changed sign into - to reflect they are removals</t>
        </r>
      </text>
    </comment>
    <comment ref="N68" authorId="0" shapeId="0" xr:uid="{00000000-0006-0000-0100-000002000000}">
      <text>
        <r>
          <rPr>
            <b/>
            <sz val="9"/>
            <color indexed="81"/>
            <rFont val="Tahoma"/>
            <family val="2"/>
          </rPr>
          <t>Cumplido-Marín, Laura:</t>
        </r>
        <r>
          <rPr>
            <sz val="9"/>
            <color indexed="81"/>
            <rFont val="Tahoma"/>
            <family val="2"/>
          </rPr>
          <t xml:space="preserve">
Changed sign into negative to reflect they are removals in the overall sum</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Cumplido-Marín, Laura</author>
  </authors>
  <commentList>
    <comment ref="H55" authorId="0" shapeId="0" xr:uid="{00000000-0006-0000-0500-000001000000}">
      <text>
        <r>
          <rPr>
            <b/>
            <sz val="9"/>
            <color indexed="81"/>
            <rFont val="Tahoma"/>
            <family val="2"/>
          </rPr>
          <t>Cumplido-Marín, Laura:</t>
        </r>
        <r>
          <rPr>
            <sz val="9"/>
            <color indexed="81"/>
            <rFont val="Tahoma"/>
            <family val="2"/>
          </rPr>
          <t xml:space="preserve">
Set to be the same as the stock of arable crops at the end of inventory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Cumplido-Marín, Laura</author>
  </authors>
  <commentList>
    <comment ref="C28" authorId="0" shapeId="0" xr:uid="{00000000-0006-0000-0E00-000001000000}">
      <text>
        <r>
          <rPr>
            <b/>
            <sz val="9"/>
            <color indexed="81"/>
            <rFont val="Tahoma"/>
            <family val="2"/>
          </rPr>
          <t>Cumplido-Marín, Laura:</t>
        </r>
        <r>
          <rPr>
            <sz val="9"/>
            <color indexed="81"/>
            <rFont val="Tahoma"/>
            <family val="2"/>
          </rPr>
          <t xml:space="preserve">
Fuel use (l/h) = specific fuel consumption [(g/kWh) * rated power (kW)] / fueld density (g/l)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Adrian Williams</author>
    <author>Cumplido-Marín, Laura</author>
  </authors>
  <commentList>
    <comment ref="E7" authorId="0" shapeId="0" xr:uid="{00000000-0006-0000-0F00-000001000000}">
      <text>
        <r>
          <rPr>
            <b/>
            <sz val="9"/>
            <color indexed="81"/>
            <rFont val="Tahoma"/>
            <family val="2"/>
          </rPr>
          <t>Adrian Williams:</t>
        </r>
        <r>
          <rPr>
            <sz val="9"/>
            <color indexed="81"/>
            <rFont val="Tahoma"/>
            <family val="2"/>
          </rPr>
          <t xml:space="preserve">
fossil methane assumed</t>
        </r>
      </text>
    </comment>
    <comment ref="E12" authorId="1" shapeId="0" xr:uid="{00000000-0006-0000-0200-000001000000}">
      <text>
        <r>
          <rPr>
            <b/>
            <sz val="9"/>
            <color indexed="81"/>
            <rFont val="Tahoma"/>
            <family val="2"/>
          </rPr>
          <t>Cumplido-Marín, Laura:</t>
        </r>
        <r>
          <rPr>
            <sz val="9"/>
            <color indexed="81"/>
            <rFont val="Tahoma"/>
            <family val="2"/>
          </rPr>
          <t xml:space="preserve">
Divive by 3.6 to convert kWh to MJ</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Cumplido-Marín, Laura</author>
  </authors>
  <commentList>
    <comment ref="E11" authorId="0" shapeId="0" xr:uid="{00000000-0006-0000-1000-000001000000}">
      <text>
        <r>
          <rPr>
            <b/>
            <sz val="9"/>
            <color indexed="81"/>
            <rFont val="Tahoma"/>
            <family val="2"/>
          </rPr>
          <t>Cumplido-Marín, Laura:</t>
        </r>
        <r>
          <rPr>
            <sz val="9"/>
            <color indexed="81"/>
            <rFont val="Tahoma"/>
            <family val="2"/>
          </rPr>
          <t xml:space="preserve">
Assuming 200l per ha per application (Redman, 2018)</t>
        </r>
      </text>
    </comment>
    <comment ref="H11" authorId="0" shapeId="0" xr:uid="{00000000-0006-0000-1000-000002000000}">
      <text>
        <r>
          <rPr>
            <b/>
            <sz val="9"/>
            <color indexed="81"/>
            <rFont val="Tahoma"/>
            <family val="2"/>
          </rPr>
          <t>Cumplido-Marín, Laura:</t>
        </r>
        <r>
          <rPr>
            <sz val="9"/>
            <color indexed="81"/>
            <rFont val="Tahoma"/>
            <family val="2"/>
          </rPr>
          <t xml:space="preserve">
Assuming a dilution of 4 kg per 20 l, then 800l is equivalent to 160kg
</t>
        </r>
        <r>
          <rPr>
            <sz val="9"/>
            <color indexed="10"/>
            <rFont val="Tahoma"/>
            <family val="2"/>
          </rPr>
          <t>No, no. This should be just the A.I. and not water</t>
        </r>
      </text>
    </comment>
    <comment ref="E17" authorId="0" shapeId="0" xr:uid="{00000000-0006-0000-1000-000003000000}">
      <text>
        <r>
          <rPr>
            <b/>
            <sz val="9"/>
            <color indexed="81"/>
            <rFont val="Tahoma"/>
            <family val="2"/>
          </rPr>
          <t>Cumplido-Marín, Laura:</t>
        </r>
        <r>
          <rPr>
            <sz val="9"/>
            <color indexed="81"/>
            <rFont val="Tahoma"/>
            <family val="2"/>
          </rPr>
          <t xml:space="preserve">
Assuming 200l per ha per application (Redman, 2018)</t>
        </r>
      </text>
    </comment>
    <comment ref="H17" authorId="0" shapeId="0" xr:uid="{00000000-0006-0000-1000-000004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23" authorId="0" shapeId="0" xr:uid="{00000000-0006-0000-1000-000005000000}">
      <text>
        <r>
          <rPr>
            <b/>
            <sz val="9"/>
            <color indexed="81"/>
            <rFont val="Tahoma"/>
            <family val="2"/>
          </rPr>
          <t>Cumplido-Marín, Laura:</t>
        </r>
        <r>
          <rPr>
            <sz val="9"/>
            <color indexed="81"/>
            <rFont val="Tahoma"/>
            <family val="2"/>
          </rPr>
          <t xml:space="preserve">
Assuming 200l per ha per application (Redman, 2018)</t>
        </r>
      </text>
    </comment>
    <comment ref="H23" authorId="0" shapeId="0" xr:uid="{00000000-0006-0000-1000-000006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29" authorId="0" shapeId="0" xr:uid="{00000000-0006-0000-1000-000007000000}">
      <text>
        <r>
          <rPr>
            <b/>
            <sz val="9"/>
            <color indexed="81"/>
            <rFont val="Tahoma"/>
            <family val="2"/>
          </rPr>
          <t>Cumplido-Marín, Laura:</t>
        </r>
        <r>
          <rPr>
            <sz val="9"/>
            <color indexed="81"/>
            <rFont val="Tahoma"/>
            <family val="2"/>
          </rPr>
          <t xml:space="preserve">
Assuming 200l per ha per application (Redman, 2018)</t>
        </r>
      </text>
    </comment>
    <comment ref="H29" authorId="0" shapeId="0" xr:uid="{00000000-0006-0000-1000-000008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35" authorId="0" shapeId="0" xr:uid="{00000000-0006-0000-1000-000009000000}">
      <text>
        <r>
          <rPr>
            <b/>
            <sz val="9"/>
            <color indexed="81"/>
            <rFont val="Tahoma"/>
            <family val="2"/>
          </rPr>
          <t>Cumplido-Marín, Laura:</t>
        </r>
        <r>
          <rPr>
            <sz val="9"/>
            <color indexed="81"/>
            <rFont val="Tahoma"/>
            <family val="2"/>
          </rPr>
          <t xml:space="preserve">
Assuming 200l per ha per application (Redman, 2018)</t>
        </r>
      </text>
    </comment>
    <comment ref="H35" authorId="0" shapeId="0" xr:uid="{00000000-0006-0000-1000-00000A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41" authorId="0" shapeId="0" xr:uid="{00000000-0006-0000-1000-00000B000000}">
      <text>
        <r>
          <rPr>
            <b/>
            <sz val="9"/>
            <color indexed="81"/>
            <rFont val="Tahoma"/>
            <family val="2"/>
          </rPr>
          <t>Cumplido-Marín, Laura:</t>
        </r>
        <r>
          <rPr>
            <sz val="9"/>
            <color indexed="81"/>
            <rFont val="Tahoma"/>
            <family val="2"/>
          </rPr>
          <t xml:space="preserve">
Assuming 200l per ha per application (Redman, 2018)</t>
        </r>
      </text>
    </comment>
    <comment ref="H41" authorId="0" shapeId="0" xr:uid="{00000000-0006-0000-1000-00000C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47" authorId="0" shapeId="0" xr:uid="{00000000-0006-0000-1000-00000D000000}">
      <text>
        <r>
          <rPr>
            <b/>
            <sz val="9"/>
            <color indexed="81"/>
            <rFont val="Tahoma"/>
            <family val="2"/>
          </rPr>
          <t>Cumplido-Marín, Laura:</t>
        </r>
        <r>
          <rPr>
            <sz val="9"/>
            <color indexed="81"/>
            <rFont val="Tahoma"/>
            <family val="2"/>
          </rPr>
          <t xml:space="preserve">
Assuming 200l per ha per application (Redman, 2018)</t>
        </r>
      </text>
    </comment>
    <comment ref="H47" authorId="0" shapeId="0" xr:uid="{00000000-0006-0000-1000-00000E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53" authorId="0" shapeId="0" xr:uid="{00000000-0006-0000-1000-00000F000000}">
      <text>
        <r>
          <rPr>
            <b/>
            <sz val="9"/>
            <color indexed="81"/>
            <rFont val="Tahoma"/>
            <family val="2"/>
          </rPr>
          <t>Cumplido-Marín, Laura:</t>
        </r>
        <r>
          <rPr>
            <sz val="9"/>
            <color indexed="81"/>
            <rFont val="Tahoma"/>
            <family val="2"/>
          </rPr>
          <t xml:space="preserve">
Assuming 200l per ha per application (Redman, 2018)</t>
        </r>
      </text>
    </comment>
    <comment ref="H53" authorId="0" shapeId="0" xr:uid="{00000000-0006-0000-1000-000010000000}">
      <text>
        <r>
          <rPr>
            <b/>
            <sz val="9"/>
            <color indexed="81"/>
            <rFont val="Tahoma"/>
            <family val="2"/>
          </rPr>
          <t>Cumplido-Marín, Laura:</t>
        </r>
        <r>
          <rPr>
            <sz val="9"/>
            <color indexed="81"/>
            <rFont val="Tahoma"/>
            <family val="2"/>
          </rPr>
          <t xml:space="preserve">
Assuming a dilution of 4 kg per 20 l, then 800l is equivalent to 160kg</t>
        </r>
      </text>
    </comment>
    <comment ref="E59" authorId="0" shapeId="0" xr:uid="{00000000-0006-0000-1000-000011000000}">
      <text>
        <r>
          <rPr>
            <b/>
            <sz val="9"/>
            <color indexed="81"/>
            <rFont val="Tahoma"/>
            <family val="2"/>
          </rPr>
          <t>Cumplido-Marín, Laura:</t>
        </r>
        <r>
          <rPr>
            <sz val="9"/>
            <color indexed="81"/>
            <rFont val="Tahoma"/>
            <family val="2"/>
          </rPr>
          <t xml:space="preserve">
Assuming 200l per ha per application (Redman, 2018)</t>
        </r>
      </text>
    </comment>
    <comment ref="H59" authorId="0" shapeId="0" xr:uid="{00000000-0006-0000-1000-000012000000}">
      <text>
        <r>
          <rPr>
            <b/>
            <sz val="9"/>
            <color indexed="81"/>
            <rFont val="Tahoma"/>
            <family val="2"/>
          </rPr>
          <t>Cumplido-Marín, Laura:</t>
        </r>
        <r>
          <rPr>
            <sz val="9"/>
            <color indexed="81"/>
            <rFont val="Tahoma"/>
            <family val="2"/>
          </rPr>
          <t xml:space="preserve">
Assuming a dilution of 4 kg per 20 l, then 800l is equivalent to 160kg</t>
        </r>
      </text>
    </comment>
  </commentList>
</comments>
</file>

<file path=xl/sharedStrings.xml><?xml version="1.0" encoding="utf-8"?>
<sst xmlns="http://schemas.openxmlformats.org/spreadsheetml/2006/main" count="2312" uniqueCount="821">
  <si>
    <t>emissions (+)</t>
  </si>
  <si>
    <t>removals (-)</t>
  </si>
  <si>
    <t>Summary Table</t>
  </si>
  <si>
    <r>
      <rPr>
        <b/>
        <sz val="8"/>
        <rFont val="Arial"/>
        <family val="2"/>
      </rPr>
      <t>Categories</t>
    </r>
  </si>
  <si>
    <r>
      <t>Net
CO</t>
    </r>
    <r>
      <rPr>
        <b/>
        <vertAlign val="subscript"/>
        <sz val="8"/>
        <rFont val="Arial"/>
        <family val="2"/>
      </rPr>
      <t>2</t>
    </r>
  </si>
  <si>
    <r>
      <rPr>
        <b/>
        <sz val="8"/>
        <rFont val="Arial"/>
        <family val="2"/>
      </rPr>
      <t>CH</t>
    </r>
    <r>
      <rPr>
        <b/>
        <vertAlign val="subscript"/>
        <sz val="8"/>
        <rFont val="Arial"/>
        <family val="2"/>
      </rPr>
      <t>4</t>
    </r>
  </si>
  <si>
    <r>
      <rPr>
        <b/>
        <sz val="8"/>
        <rFont val="Arial"/>
        <family val="2"/>
      </rPr>
      <t>N</t>
    </r>
    <r>
      <rPr>
        <b/>
        <vertAlign val="subscript"/>
        <sz val="8"/>
        <rFont val="Arial"/>
        <family val="2"/>
      </rPr>
      <t>2</t>
    </r>
    <r>
      <rPr>
        <b/>
        <sz val="8"/>
        <rFont val="Arial"/>
        <family val="2"/>
      </rPr>
      <t>O</t>
    </r>
  </si>
  <si>
    <t>Total GHG emissions</t>
  </si>
  <si>
    <r>
      <t>(kg CO</t>
    </r>
    <r>
      <rPr>
        <b/>
        <vertAlign val="subscript"/>
        <sz val="8"/>
        <rFont val="Arial"/>
        <family val="2"/>
      </rPr>
      <t>2</t>
    </r>
    <r>
      <rPr>
        <b/>
        <sz val="8"/>
        <rFont val="Arial"/>
        <family val="2"/>
      </rPr>
      <t xml:space="preserve"> eq ha</t>
    </r>
    <r>
      <rPr>
        <b/>
        <vertAlign val="superscript"/>
        <sz val="8"/>
        <rFont val="Arial"/>
        <family val="2"/>
      </rPr>
      <t xml:space="preserve">-1 </t>
    </r>
    <r>
      <rPr>
        <b/>
        <sz val="8"/>
        <rFont val="Arial"/>
        <family val="2"/>
      </rPr>
      <t>y</t>
    </r>
    <r>
      <rPr>
        <b/>
        <vertAlign val="superscript"/>
        <sz val="8"/>
        <rFont val="Arial"/>
        <family val="2"/>
      </rPr>
      <t>-1</t>
    </r>
    <r>
      <rPr>
        <b/>
        <sz val="8"/>
        <rFont val="Arial"/>
        <family val="2"/>
      </rPr>
      <t>)</t>
    </r>
  </si>
  <si>
    <t>1A4c Fuel combustion activities: Other sectors: Agriculture</t>
  </si>
  <si>
    <t>Wheat</t>
  </si>
  <si>
    <t>Oats</t>
  </si>
  <si>
    <t>OSR</t>
  </si>
  <si>
    <t>Sugar beet</t>
  </si>
  <si>
    <t>Forage maize</t>
  </si>
  <si>
    <t>SRC (establishment)</t>
  </si>
  <si>
    <t>SRC (recurring no harvest)</t>
  </si>
  <si>
    <t>SRC (recurring harvest years)</t>
  </si>
  <si>
    <t>Miscanthus (establishment)</t>
  </si>
  <si>
    <t>Miscanthus (recurring)</t>
  </si>
  <si>
    <t>Sida (establishment)</t>
  </si>
  <si>
    <t>Sida (recurring)</t>
  </si>
  <si>
    <t>Silphium (establishment)</t>
  </si>
  <si>
    <t>Silphium (recurring)</t>
  </si>
  <si>
    <t>3B2a  Carbon stock change</t>
  </si>
  <si>
    <t>&gt; Biomass, above ground</t>
  </si>
  <si>
    <t>SRC</t>
  </si>
  <si>
    <t>-</t>
  </si>
  <si>
    <t>Miscanthus</t>
  </si>
  <si>
    <t>Sida</t>
  </si>
  <si>
    <t>Silphium</t>
  </si>
  <si>
    <t>&gt; Biomass, below ground</t>
  </si>
  <si>
    <t>&gt; Soil</t>
  </si>
  <si>
    <t>Arable crops</t>
  </si>
  <si>
    <t>Energy crops</t>
  </si>
  <si>
    <t>&gt; Litter</t>
  </si>
  <si>
    <t>SRC (year 1)</t>
  </si>
  <si>
    <t>SRC (year 2)</t>
  </si>
  <si>
    <t>SRC (year 3)</t>
  </si>
  <si>
    <t>SRC (year 4)</t>
  </si>
  <si>
    <t>Miscanthus (year 1)</t>
  </si>
  <si>
    <t>Miscanthus (year 2)</t>
  </si>
  <si>
    <t>Miscanthus (year 3)</t>
  </si>
  <si>
    <t>Miscanthus (year 4 and onwards)</t>
  </si>
  <si>
    <t>Sida (year 1)</t>
  </si>
  <si>
    <t>Sida (year 2)</t>
  </si>
  <si>
    <t>Sida (year 3)</t>
  </si>
  <si>
    <t>Sida (year 4 and onwards)</t>
  </si>
  <si>
    <t>Silphium (year 1)</t>
  </si>
  <si>
    <t>Silphium (year 2)</t>
  </si>
  <si>
    <t>Silphium (year 3)</t>
  </si>
  <si>
    <t>Silphium (year 4)</t>
  </si>
  <si>
    <t>Silphium (year 5 and onwards)</t>
  </si>
  <si>
    <r>
      <rPr>
        <sz val="8"/>
        <rFont val="Arial"/>
        <family val="2"/>
      </rPr>
      <t>3C4  Direct N2O Emissions from Managed Soils</t>
    </r>
  </si>
  <si>
    <t>wheat</t>
  </si>
  <si>
    <t>oats</t>
  </si>
  <si>
    <t>sugar beet</t>
  </si>
  <si>
    <t>forage maize</t>
  </si>
  <si>
    <r>
      <rPr>
        <sz val="8"/>
        <rFont val="Arial"/>
        <family val="2"/>
      </rPr>
      <t>3C5  Indirect N2O Emissions from Managed Soils</t>
    </r>
  </si>
  <si>
    <r>
      <t>Life cycle emissions (t CO</t>
    </r>
    <r>
      <rPr>
        <b/>
        <vertAlign val="subscript"/>
        <sz val="8"/>
        <color rgb="FF000000"/>
        <rFont val="Arial"/>
        <family val="2"/>
      </rPr>
      <t>2</t>
    </r>
    <r>
      <rPr>
        <b/>
        <sz val="8"/>
        <color rgb="FF000000"/>
        <rFont val="Arial"/>
        <family val="2"/>
      </rPr>
      <t xml:space="preserve"> eq ha</t>
    </r>
    <r>
      <rPr>
        <b/>
        <vertAlign val="superscript"/>
        <sz val="8"/>
        <color rgb="FF000000"/>
        <rFont val="Arial"/>
        <family val="2"/>
      </rPr>
      <t>-1</t>
    </r>
    <r>
      <rPr>
        <b/>
        <sz val="8"/>
        <color rgb="FF000000"/>
        <rFont val="Arial"/>
        <family val="2"/>
      </rPr>
      <t>)</t>
    </r>
  </si>
  <si>
    <r>
      <t>Annual emmissions (kg CO</t>
    </r>
    <r>
      <rPr>
        <b/>
        <vertAlign val="subscript"/>
        <sz val="8"/>
        <color rgb="FF000000"/>
        <rFont val="Arial"/>
        <family val="2"/>
      </rPr>
      <t>2</t>
    </r>
    <r>
      <rPr>
        <b/>
        <sz val="8"/>
        <color rgb="FF000000"/>
        <rFont val="Arial"/>
        <family val="2"/>
      </rPr>
      <t xml:space="preserve"> eq ha</t>
    </r>
    <r>
      <rPr>
        <b/>
        <vertAlign val="superscript"/>
        <sz val="8"/>
        <color rgb="FF000000"/>
        <rFont val="Arial"/>
        <family val="2"/>
      </rPr>
      <t>-1</t>
    </r>
    <r>
      <rPr>
        <b/>
        <sz val="8"/>
        <color rgb="FF000000"/>
        <rFont val="Arial"/>
        <family val="2"/>
      </rPr>
      <t>)</t>
    </r>
  </si>
  <si>
    <t>Multiplier</t>
  </si>
  <si>
    <t>TOTAL</t>
  </si>
  <si>
    <r>
      <t>CO</t>
    </r>
    <r>
      <rPr>
        <b/>
        <vertAlign val="subscript"/>
        <sz val="8"/>
        <color rgb="FF000000"/>
        <rFont val="Arial"/>
        <family val="2"/>
      </rPr>
      <t>2</t>
    </r>
  </si>
  <si>
    <r>
      <t>CH</t>
    </r>
    <r>
      <rPr>
        <b/>
        <vertAlign val="subscript"/>
        <sz val="8"/>
        <color rgb="FF000000"/>
        <rFont val="Arial"/>
        <family val="2"/>
      </rPr>
      <t>4</t>
    </r>
  </si>
  <si>
    <r>
      <t>N</t>
    </r>
    <r>
      <rPr>
        <b/>
        <vertAlign val="subscript"/>
        <sz val="8"/>
        <color rgb="FF000000"/>
        <rFont val="Arial"/>
        <family val="2"/>
      </rPr>
      <t>2</t>
    </r>
    <r>
      <rPr>
        <b/>
        <sz val="8"/>
        <color rgb="FF000000"/>
        <rFont val="Arial"/>
        <family val="2"/>
      </rPr>
      <t>O</t>
    </r>
  </si>
  <si>
    <t>Rotation</t>
  </si>
  <si>
    <t>Year</t>
  </si>
  <si>
    <t>1 (establishment)</t>
  </si>
  <si>
    <t>4 (harvest)</t>
  </si>
  <si>
    <t>7 (harvest)</t>
  </si>
  <si>
    <t>10 (harvest)</t>
  </si>
  <si>
    <t>13 (harvest)</t>
  </si>
  <si>
    <t>16 (harvest)</t>
  </si>
  <si>
    <t>2 (recurring)</t>
  </si>
  <si>
    <t>3 (recurring)</t>
  </si>
  <si>
    <t>4 (recurring)</t>
  </si>
  <si>
    <t>5 (recurring)</t>
  </si>
  <si>
    <t>6 (recurring)</t>
  </si>
  <si>
    <t>7 (recurring)</t>
  </si>
  <si>
    <t>8 (recurring)</t>
  </si>
  <si>
    <t>9 (recurring)</t>
  </si>
  <si>
    <t>10 (recurring)</t>
  </si>
  <si>
    <t>11 (recurring)</t>
  </si>
  <si>
    <t>12 (recurring)</t>
  </si>
  <si>
    <t>13 (recurring)</t>
  </si>
  <si>
    <t>14 (recurring)</t>
  </si>
  <si>
    <t>15 (recurring)</t>
  </si>
  <si>
    <t>16 (recurring)</t>
  </si>
  <si>
    <t>1. Emissions from fuel combustion activities</t>
  </si>
  <si>
    <r>
      <rPr>
        <b/>
        <sz val="9"/>
        <rFont val="Arial"/>
        <family val="2"/>
      </rPr>
      <t xml:space="preserve">Energy </t>
    </r>
    <r>
      <rPr>
        <b/>
        <sz val="9"/>
        <rFont val="Arial"/>
        <family val="2"/>
      </rPr>
      <t>consumption</t>
    </r>
  </si>
  <si>
    <r>
      <rPr>
        <b/>
        <sz val="9"/>
        <rFont val="Arial"/>
        <family val="2"/>
      </rPr>
      <t>CO</t>
    </r>
    <r>
      <rPr>
        <b/>
        <sz val="6"/>
        <rFont val="Arial"/>
        <family val="2"/>
      </rPr>
      <t>2</t>
    </r>
  </si>
  <si>
    <r>
      <rPr>
        <b/>
        <sz val="9"/>
        <rFont val="Arial"/>
        <family val="2"/>
      </rPr>
      <t>CH</t>
    </r>
    <r>
      <rPr>
        <b/>
        <sz val="6"/>
        <rFont val="Arial"/>
        <family val="2"/>
      </rPr>
      <t>4</t>
    </r>
  </si>
  <si>
    <r>
      <rPr>
        <b/>
        <sz val="9"/>
        <rFont val="Arial"/>
        <family val="2"/>
      </rPr>
      <t>N</t>
    </r>
    <r>
      <rPr>
        <b/>
        <sz val="6"/>
        <rFont val="Arial"/>
        <family val="2"/>
      </rPr>
      <t>2</t>
    </r>
    <r>
      <rPr>
        <b/>
        <sz val="9"/>
        <rFont val="Arial"/>
        <family val="2"/>
      </rPr>
      <t>O</t>
    </r>
  </si>
  <si>
    <t xml:space="preserve">          A     Consumption (Mass, Volume or Energy unit)</t>
  </si>
  <si>
    <r>
      <rPr>
        <b/>
        <sz val="8"/>
        <rFont val="Arial"/>
        <family val="2"/>
      </rPr>
      <t>C=A*B</t>
    </r>
  </si>
  <si>
    <t>2. Carbon stock changes</t>
  </si>
  <si>
    <t>2.1. Carbon stock change in biomass pool, above ground</t>
  </si>
  <si>
    <t>R</t>
  </si>
  <si>
    <t>A</t>
  </si>
  <si>
    <t>CF</t>
  </si>
  <si>
    <r>
      <t>∆C</t>
    </r>
    <r>
      <rPr>
        <vertAlign val="subscript"/>
        <sz val="8"/>
        <color rgb="FF000000"/>
        <rFont val="Arial"/>
        <family val="2"/>
      </rPr>
      <t>G</t>
    </r>
  </si>
  <si>
    <t>fd</t>
  </si>
  <si>
    <r>
      <t>∆C</t>
    </r>
    <r>
      <rPr>
        <vertAlign val="subscript"/>
        <sz val="8"/>
        <color rgb="FF000000"/>
        <rFont val="Arial"/>
        <family val="2"/>
      </rPr>
      <t>L</t>
    </r>
  </si>
  <si>
    <r>
      <t>∆C</t>
    </r>
    <r>
      <rPr>
        <vertAlign val="subscript"/>
        <sz val="8"/>
        <color rgb="FF000000"/>
        <rFont val="Arial"/>
        <family val="2"/>
      </rPr>
      <t>B</t>
    </r>
  </si>
  <si>
    <r>
      <t>t DM ha</t>
    </r>
    <r>
      <rPr>
        <vertAlign val="superscript"/>
        <sz val="8"/>
        <color rgb="FF000000"/>
        <rFont val="Arial"/>
        <family val="2"/>
      </rPr>
      <t>-1</t>
    </r>
    <r>
      <rPr>
        <sz val="8"/>
        <color rgb="FF000000"/>
        <rFont val="Arial"/>
        <family val="2"/>
      </rPr>
      <t xml:space="preserve"> y</t>
    </r>
    <r>
      <rPr>
        <vertAlign val="superscript"/>
        <sz val="8"/>
        <color rgb="FF000000"/>
        <rFont val="Arial"/>
        <family val="2"/>
      </rPr>
      <t>-1</t>
    </r>
  </si>
  <si>
    <t>(-)</t>
  </si>
  <si>
    <t>ha</t>
  </si>
  <si>
    <r>
      <t>t C y</t>
    </r>
    <r>
      <rPr>
        <vertAlign val="superscript"/>
        <sz val="8"/>
        <color rgb="FF000000"/>
        <rFont val="Arial"/>
        <family val="2"/>
      </rPr>
      <t>-1</t>
    </r>
  </si>
  <si>
    <r>
      <t>ha</t>
    </r>
    <r>
      <rPr>
        <vertAlign val="superscript"/>
        <sz val="8"/>
        <color rgb="FF000000"/>
        <rFont val="Arial"/>
        <family val="2"/>
      </rPr>
      <t>-1</t>
    </r>
    <r>
      <rPr>
        <sz val="8"/>
        <color rgb="FF000000"/>
        <rFont val="Arial"/>
        <family val="2"/>
      </rPr>
      <t xml:space="preserve"> y</t>
    </r>
    <r>
      <rPr>
        <vertAlign val="superscript"/>
        <sz val="8"/>
        <color rgb="FF000000"/>
        <rFont val="Arial"/>
        <family val="2"/>
      </rPr>
      <t>-1</t>
    </r>
  </si>
  <si>
    <r>
      <t>t DM ha</t>
    </r>
    <r>
      <rPr>
        <vertAlign val="superscript"/>
        <sz val="8"/>
        <color rgb="FF000000"/>
        <rFont val="Arial"/>
        <family val="2"/>
      </rPr>
      <t>-1</t>
    </r>
  </si>
  <si>
    <t>&gt;</t>
  </si>
  <si>
    <t>2.1. Carbon stock change in biomass pool, below ground</t>
  </si>
  <si>
    <t>2.3. Carbon stock change in soil pool</t>
  </si>
  <si>
    <r>
      <t>SOC</t>
    </r>
    <r>
      <rPr>
        <vertAlign val="subscript"/>
        <sz val="10"/>
        <color theme="1"/>
        <rFont val="Arial"/>
        <family val="2"/>
      </rPr>
      <t>0</t>
    </r>
    <r>
      <rPr>
        <sz val="10"/>
        <color rgb="FF000000"/>
        <rFont val="Calibri"/>
        <family val="2"/>
      </rPr>
      <t xml:space="preserve"> = last year of inventory (t C)</t>
    </r>
  </si>
  <si>
    <r>
      <t>SOC</t>
    </r>
    <r>
      <rPr>
        <vertAlign val="subscript"/>
        <sz val="10"/>
        <color theme="1"/>
        <rFont val="Arial"/>
        <family val="2"/>
      </rPr>
      <t>(0-T)</t>
    </r>
    <r>
      <rPr>
        <sz val="10"/>
        <color rgb="FF000000"/>
        <rFont val="Calibri"/>
        <family val="2"/>
      </rPr>
      <t xml:space="preserve"> = beginning of the inventory (t C)</t>
    </r>
  </si>
  <si>
    <t>t C</t>
  </si>
  <si>
    <t>Reference</t>
  </si>
  <si>
    <t>2.4. Carbon stock change in litter pool</t>
  </si>
  <si>
    <r>
      <t>DOM</t>
    </r>
    <r>
      <rPr>
        <vertAlign val="subscript"/>
        <sz val="8"/>
        <color theme="1"/>
        <rFont val="Arial"/>
        <family val="2"/>
      </rPr>
      <t>t1</t>
    </r>
  </si>
  <si>
    <r>
      <t>DOM</t>
    </r>
    <r>
      <rPr>
        <vertAlign val="subscript"/>
        <sz val="8"/>
        <color theme="1"/>
        <rFont val="Arial"/>
        <family val="2"/>
      </rPr>
      <t>t2</t>
    </r>
  </si>
  <si>
    <t>T</t>
  </si>
  <si>
    <r>
      <t>∆C</t>
    </r>
    <r>
      <rPr>
        <vertAlign val="subscript"/>
        <sz val="8"/>
        <color theme="1"/>
        <rFont val="Arial"/>
        <family val="2"/>
      </rPr>
      <t>DOM</t>
    </r>
  </si>
  <si>
    <r>
      <t>t DM ha</t>
    </r>
    <r>
      <rPr>
        <vertAlign val="superscript"/>
        <sz val="8"/>
        <color theme="1"/>
        <rFont val="Arial"/>
        <family val="2"/>
      </rPr>
      <t>-1</t>
    </r>
  </si>
  <si>
    <t>y</t>
  </si>
  <si>
    <r>
      <t>F</t>
    </r>
    <r>
      <rPr>
        <b/>
        <vertAlign val="subscript"/>
        <sz val="8"/>
        <color rgb="FF000000"/>
        <rFont val="Arial"/>
        <family val="2"/>
      </rPr>
      <t>SN</t>
    </r>
  </si>
  <si>
    <r>
      <t>AGR</t>
    </r>
    <r>
      <rPr>
        <b/>
        <vertAlign val="subscript"/>
        <sz val="8"/>
        <color rgb="FF000000"/>
        <rFont val="Arial"/>
        <family val="2"/>
      </rPr>
      <t>(T)</t>
    </r>
  </si>
  <si>
    <r>
      <t>N</t>
    </r>
    <r>
      <rPr>
        <b/>
        <vertAlign val="subscript"/>
        <sz val="8"/>
        <color rgb="FF000000"/>
        <rFont val="Arial"/>
        <family val="2"/>
      </rPr>
      <t>AG(T)</t>
    </r>
  </si>
  <si>
    <t xml:space="preserve">Yield Fresh </t>
  </si>
  <si>
    <t>DRY</t>
  </si>
  <si>
    <r>
      <t>Crop</t>
    </r>
    <r>
      <rPr>
        <b/>
        <vertAlign val="subscript"/>
        <sz val="8"/>
        <color rgb="FF000000"/>
        <rFont val="Arial"/>
        <family val="2"/>
      </rPr>
      <t>(T)</t>
    </r>
  </si>
  <si>
    <r>
      <t>R</t>
    </r>
    <r>
      <rPr>
        <b/>
        <vertAlign val="subscript"/>
        <sz val="8"/>
        <color rgb="FF000000"/>
        <rFont val="Arial"/>
        <family val="2"/>
      </rPr>
      <t xml:space="preserve">AG(T) </t>
    </r>
  </si>
  <si>
    <r>
      <t>AG</t>
    </r>
    <r>
      <rPr>
        <b/>
        <vertAlign val="subscript"/>
        <sz val="8"/>
        <color rgb="FF000000"/>
        <rFont val="Arial"/>
        <family val="2"/>
      </rPr>
      <t>DM(T)</t>
    </r>
    <r>
      <rPr>
        <b/>
        <sz val="8"/>
        <color rgb="FF000000"/>
        <rFont val="Arial"/>
        <family val="2"/>
      </rPr>
      <t/>
    </r>
  </si>
  <si>
    <r>
      <t>RS</t>
    </r>
    <r>
      <rPr>
        <b/>
        <vertAlign val="subscript"/>
        <sz val="8"/>
        <color rgb="FF000000"/>
        <rFont val="Arial"/>
        <family val="2"/>
      </rPr>
      <t>(T)</t>
    </r>
  </si>
  <si>
    <r>
      <t>N</t>
    </r>
    <r>
      <rPr>
        <b/>
        <vertAlign val="subscript"/>
        <sz val="8"/>
        <color rgb="FF000000"/>
        <rFont val="Arial"/>
        <family val="2"/>
      </rPr>
      <t>BG(T)</t>
    </r>
  </si>
  <si>
    <r>
      <t>F</t>
    </r>
    <r>
      <rPr>
        <b/>
        <vertAlign val="subscript"/>
        <sz val="8"/>
        <color rgb="FF000000"/>
        <rFont val="Arial"/>
        <family val="2"/>
      </rPr>
      <t>CR</t>
    </r>
  </si>
  <si>
    <r>
      <t>F</t>
    </r>
    <r>
      <rPr>
        <b/>
        <vertAlign val="subscript"/>
        <sz val="8"/>
        <color rgb="FF000000"/>
        <rFont val="Arial"/>
        <family val="2"/>
      </rPr>
      <t>SOM</t>
    </r>
  </si>
  <si>
    <r>
      <t>EF</t>
    </r>
    <r>
      <rPr>
        <b/>
        <vertAlign val="subscript"/>
        <sz val="8"/>
        <color rgb="FF000000"/>
        <rFont val="Arial"/>
        <family val="2"/>
      </rPr>
      <t>1</t>
    </r>
  </si>
  <si>
    <t>(kg ha-1)</t>
  </si>
  <si>
    <r>
      <t>(kg DM ha</t>
    </r>
    <r>
      <rPr>
        <vertAlign val="superscript"/>
        <sz val="8"/>
        <color rgb="FF000000"/>
        <rFont val="Arial"/>
        <family val="2"/>
      </rPr>
      <t>-1</t>
    </r>
    <r>
      <rPr>
        <sz val="8"/>
        <color rgb="FF000000"/>
        <rFont val="Arial"/>
        <family val="2"/>
      </rPr>
      <t>)</t>
    </r>
  </si>
  <si>
    <r>
      <t>(kg N</t>
    </r>
    <r>
      <rPr>
        <vertAlign val="subscript"/>
        <sz val="8"/>
        <color rgb="FF000000"/>
        <rFont val="Arial"/>
        <family val="2"/>
      </rPr>
      <t>2</t>
    </r>
    <r>
      <rPr>
        <sz val="8"/>
        <color rgb="FF000000"/>
        <rFont val="Arial"/>
        <family val="2"/>
      </rPr>
      <t>O N y</t>
    </r>
    <r>
      <rPr>
        <vertAlign val="superscript"/>
        <sz val="8"/>
        <color rgb="FF000000"/>
        <rFont val="Arial"/>
        <family val="2"/>
      </rPr>
      <t>-1</t>
    </r>
    <r>
      <rPr>
        <sz val="8"/>
        <color rgb="FF000000"/>
        <rFont val="Arial"/>
        <family val="2"/>
      </rPr>
      <t>)</t>
    </r>
  </si>
  <si>
    <t>Sugart beet</t>
  </si>
  <si>
    <r>
      <t>kg N</t>
    </r>
    <r>
      <rPr>
        <vertAlign val="subscript"/>
        <sz val="8"/>
        <rFont val="Arial"/>
        <family val="2"/>
      </rPr>
      <t>2</t>
    </r>
    <r>
      <rPr>
        <sz val="8"/>
        <rFont val="Arial"/>
        <family val="2"/>
      </rPr>
      <t>O N y</t>
    </r>
    <r>
      <rPr>
        <vertAlign val="superscript"/>
        <sz val="8"/>
        <rFont val="Arial"/>
        <family val="2"/>
      </rPr>
      <t>-1</t>
    </r>
  </si>
  <si>
    <r>
      <t>(kg N</t>
    </r>
    <r>
      <rPr>
        <vertAlign val="subscript"/>
        <sz val="8"/>
        <rFont val="Arial"/>
        <family val="2"/>
      </rPr>
      <t>2</t>
    </r>
    <r>
      <rPr>
        <sz val="8"/>
        <rFont val="Arial"/>
        <family val="2"/>
      </rPr>
      <t>O N y</t>
    </r>
    <r>
      <rPr>
        <vertAlign val="superscript"/>
        <sz val="8"/>
        <rFont val="Arial"/>
        <family val="2"/>
      </rPr>
      <t>-1</t>
    </r>
    <r>
      <rPr>
        <sz val="8"/>
        <rFont val="Arial"/>
        <family val="2"/>
      </rPr>
      <t>)</t>
    </r>
  </si>
  <si>
    <r>
      <rPr>
        <b/>
        <sz val="8"/>
        <rFont val="Arial"/>
        <family val="2"/>
      </rPr>
      <t>Sector</t>
    </r>
  </si>
  <si>
    <r>
      <rPr>
        <b/>
        <sz val="8"/>
        <rFont val="Arial"/>
        <family val="2"/>
      </rPr>
      <t>Energy</t>
    </r>
  </si>
  <si>
    <r>
      <rPr>
        <b/>
        <sz val="8"/>
        <rFont val="Arial"/>
        <family val="2"/>
      </rPr>
      <t>Category</t>
    </r>
  </si>
  <si>
    <r>
      <rPr>
        <b/>
        <sz val="8"/>
        <rFont val="Arial"/>
        <family val="2"/>
      </rPr>
      <t>Fuel combustion activities</t>
    </r>
  </si>
  <si>
    <r>
      <rPr>
        <b/>
        <sz val="8"/>
        <rFont val="Arial"/>
        <family val="2"/>
      </rPr>
      <t>Category Code</t>
    </r>
  </si>
  <si>
    <t>1A4c Other sectors: Agriculture</t>
  </si>
  <si>
    <r>
      <rPr>
        <b/>
        <sz val="8"/>
        <rFont val="Arial"/>
        <family val="2"/>
      </rPr>
      <t>Sheet</t>
    </r>
  </si>
  <si>
    <r>
      <rPr>
        <b/>
        <sz val="8"/>
        <rFont val="Arial"/>
        <family val="2"/>
      </rPr>
      <t>1 of 4 (CO</t>
    </r>
    <r>
      <rPr>
        <b/>
        <sz val="5"/>
        <rFont val="Arial"/>
        <family val="2"/>
      </rPr>
      <t>2</t>
    </r>
    <r>
      <rPr>
        <b/>
        <sz val="8"/>
        <rFont val="Arial"/>
        <family val="2"/>
      </rPr>
      <t>, CH</t>
    </r>
    <r>
      <rPr>
        <b/>
        <sz val="5"/>
        <rFont val="Arial"/>
        <family val="2"/>
      </rPr>
      <t xml:space="preserve">4 </t>
    </r>
    <r>
      <rPr>
        <b/>
        <sz val="8"/>
        <rFont val="Arial"/>
        <family val="2"/>
      </rPr>
      <t>and N</t>
    </r>
    <r>
      <rPr>
        <b/>
        <sz val="5"/>
        <rFont val="Arial"/>
        <family val="2"/>
      </rPr>
      <t>2</t>
    </r>
    <r>
      <rPr>
        <b/>
        <sz val="8"/>
        <rFont val="Arial"/>
        <family val="2"/>
      </rPr>
      <t>O from fuel combustion by source categories – Tier 1)</t>
    </r>
  </si>
  <si>
    <t>Liquid fuels: Gas / Diesel Oil</t>
  </si>
  <si>
    <r>
      <t>B
Conversion
Factor</t>
    </r>
    <r>
      <rPr>
        <sz val="5"/>
        <rFont val="Arial"/>
        <family val="2"/>
      </rPr>
      <t xml:space="preserve">
</t>
    </r>
    <r>
      <rPr>
        <sz val="8"/>
        <rFont val="Arial"/>
        <family val="2"/>
      </rPr>
      <t>(MJ/litre)</t>
    </r>
  </si>
  <si>
    <t>C
Consumption
(MJ)</t>
  </si>
  <si>
    <r>
      <rPr>
        <sz val="8"/>
        <rFont val="Arial"/>
        <family val="2"/>
      </rPr>
      <t>D
CO</t>
    </r>
    <r>
      <rPr>
        <sz val="5"/>
        <rFont val="Arial"/>
        <family val="2"/>
      </rPr>
      <t xml:space="preserve">2 </t>
    </r>
    <r>
      <rPr>
        <sz val="8"/>
        <rFont val="Arial"/>
        <family val="2"/>
      </rPr>
      <t>Emission
Factor
(kg CO</t>
    </r>
    <r>
      <rPr>
        <sz val="5"/>
        <rFont val="Arial"/>
        <family val="2"/>
      </rPr>
      <t>2</t>
    </r>
    <r>
      <rPr>
        <sz val="8"/>
        <rFont val="Arial"/>
        <family val="2"/>
      </rPr>
      <t>/MJ)</t>
    </r>
  </si>
  <si>
    <r>
      <rPr>
        <sz val="8"/>
        <rFont val="Arial"/>
        <family val="2"/>
      </rPr>
      <t>E
CO</t>
    </r>
    <r>
      <rPr>
        <sz val="5"/>
        <rFont val="Arial"/>
        <family val="2"/>
      </rPr>
      <t xml:space="preserve">2 </t>
    </r>
    <r>
      <rPr>
        <sz val="8"/>
        <rFont val="Arial"/>
        <family val="2"/>
      </rPr>
      <t>Emissions
(kg CO</t>
    </r>
    <r>
      <rPr>
        <sz val="5"/>
        <rFont val="Arial"/>
        <family val="2"/>
      </rPr>
      <t>2</t>
    </r>
    <r>
      <rPr>
        <sz val="8"/>
        <rFont val="Arial"/>
        <family val="2"/>
      </rPr>
      <t>)</t>
    </r>
  </si>
  <si>
    <r>
      <rPr>
        <sz val="8"/>
        <rFont val="Arial"/>
        <family val="2"/>
      </rPr>
      <t>F
CH</t>
    </r>
    <r>
      <rPr>
        <sz val="5"/>
        <rFont val="Arial"/>
        <family val="2"/>
      </rPr>
      <t xml:space="preserve">4 </t>
    </r>
    <r>
      <rPr>
        <sz val="8"/>
        <rFont val="Arial"/>
        <family val="2"/>
      </rPr>
      <t>Emission
Factor
(kg CH</t>
    </r>
    <r>
      <rPr>
        <sz val="5"/>
        <rFont val="Arial"/>
        <family val="2"/>
      </rPr>
      <t>4</t>
    </r>
    <r>
      <rPr>
        <sz val="8"/>
        <rFont val="Arial"/>
        <family val="2"/>
      </rPr>
      <t>/MJ)</t>
    </r>
  </si>
  <si>
    <r>
      <rPr>
        <sz val="8"/>
        <rFont val="Arial"/>
        <family val="2"/>
      </rPr>
      <t>G
CH</t>
    </r>
    <r>
      <rPr>
        <sz val="5"/>
        <rFont val="Arial"/>
        <family val="2"/>
      </rPr>
      <t xml:space="preserve">4 </t>
    </r>
    <r>
      <rPr>
        <sz val="8"/>
        <rFont val="Arial"/>
        <family val="2"/>
      </rPr>
      <t>Emissions
(kg CH</t>
    </r>
    <r>
      <rPr>
        <sz val="5"/>
        <rFont val="Arial"/>
        <family val="2"/>
      </rPr>
      <t>4</t>
    </r>
    <r>
      <rPr>
        <sz val="8"/>
        <rFont val="Arial"/>
        <family val="2"/>
      </rPr>
      <t>)</t>
    </r>
  </si>
  <si>
    <r>
      <rPr>
        <sz val="8"/>
        <rFont val="Arial"/>
        <family val="2"/>
      </rPr>
      <t>H
N</t>
    </r>
    <r>
      <rPr>
        <sz val="5"/>
        <rFont val="Arial"/>
        <family val="2"/>
      </rPr>
      <t>2</t>
    </r>
    <r>
      <rPr>
        <sz val="8"/>
        <rFont val="Arial"/>
        <family val="2"/>
      </rPr>
      <t>O
Emission
Factor
(kg N</t>
    </r>
    <r>
      <rPr>
        <sz val="5"/>
        <rFont val="Arial"/>
        <family val="2"/>
      </rPr>
      <t>2</t>
    </r>
    <r>
      <rPr>
        <sz val="8"/>
        <rFont val="Arial"/>
        <family val="2"/>
      </rPr>
      <t>O /MJ)</t>
    </r>
  </si>
  <si>
    <r>
      <rPr>
        <sz val="8"/>
        <rFont val="Arial"/>
        <family val="2"/>
      </rPr>
      <t>I
N</t>
    </r>
    <r>
      <rPr>
        <sz val="5"/>
        <rFont val="Arial"/>
        <family val="2"/>
      </rPr>
      <t>2</t>
    </r>
    <r>
      <rPr>
        <sz val="8"/>
        <rFont val="Arial"/>
        <family val="2"/>
      </rPr>
      <t>OEmissions
(kg N</t>
    </r>
    <r>
      <rPr>
        <sz val="5"/>
        <rFont val="Arial"/>
        <family val="2"/>
      </rPr>
      <t>2</t>
    </r>
    <r>
      <rPr>
        <sz val="8"/>
        <rFont val="Arial"/>
        <family val="2"/>
      </rPr>
      <t>O)</t>
    </r>
  </si>
  <si>
    <t>E=C*D</t>
  </si>
  <si>
    <t>G=C*F</t>
  </si>
  <si>
    <t>I=C*H</t>
  </si>
  <si>
    <t>CROP</t>
  </si>
  <si>
    <t>Pollutant</t>
  </si>
  <si>
    <t>Source</t>
  </si>
  <si>
    <t>Emission Factor</t>
  </si>
  <si>
    <t>Units</t>
  </si>
  <si>
    <t>CO2</t>
  </si>
  <si>
    <t>BEIS, DEFRA</t>
  </si>
  <si>
    <t>Methane</t>
  </si>
  <si>
    <t>Nitrous Oxide</t>
  </si>
  <si>
    <t>Operation</t>
  </si>
  <si>
    <t>Implement</t>
  </si>
  <si>
    <t xml:space="preserve">Engine power </t>
  </si>
  <si>
    <r>
      <t>Average fuel consumption (f</t>
    </r>
    <r>
      <rPr>
        <b/>
        <vertAlign val="subscript"/>
        <sz val="8"/>
        <rFont val="Arial"/>
        <family val="2"/>
      </rPr>
      <t>e</t>
    </r>
    <r>
      <rPr>
        <b/>
        <sz val="8"/>
        <rFont val="Arial"/>
        <family val="2"/>
      </rPr>
      <t>)</t>
    </r>
  </si>
  <si>
    <r>
      <t>Work rate (q</t>
    </r>
    <r>
      <rPr>
        <b/>
        <vertAlign val="subscript"/>
        <sz val="8"/>
        <rFont val="Arial"/>
        <family val="2"/>
      </rPr>
      <t>A</t>
    </r>
    <r>
      <rPr>
        <b/>
        <sz val="8"/>
        <rFont val="Arial"/>
        <family val="2"/>
      </rPr>
      <t>)</t>
    </r>
  </si>
  <si>
    <r>
      <t>Fuel consumption (f</t>
    </r>
    <r>
      <rPr>
        <b/>
        <vertAlign val="subscript"/>
        <sz val="8"/>
        <rFont val="Arial"/>
        <family val="2"/>
      </rPr>
      <t>A</t>
    </r>
    <r>
      <rPr>
        <b/>
        <sz val="8"/>
        <rFont val="Arial"/>
        <family val="2"/>
      </rPr>
      <t>)</t>
    </r>
  </si>
  <si>
    <t>Multiplyier</t>
  </si>
  <si>
    <t>Mean diesel use per ha</t>
  </si>
  <si>
    <t>Passes per season</t>
  </si>
  <si>
    <t xml:space="preserve">Diesel use per season </t>
  </si>
  <si>
    <t>(kW)</t>
  </si>
  <si>
    <r>
      <t>(l h</t>
    </r>
    <r>
      <rPr>
        <vertAlign val="superscript"/>
        <sz val="8"/>
        <rFont val="Arial"/>
        <family val="2"/>
      </rPr>
      <t>-1</t>
    </r>
    <r>
      <rPr>
        <sz val="8"/>
        <rFont val="Arial"/>
        <family val="2"/>
      </rPr>
      <t>)</t>
    </r>
  </si>
  <si>
    <r>
      <t>(h ha</t>
    </r>
    <r>
      <rPr>
        <vertAlign val="superscript"/>
        <sz val="8"/>
        <rFont val="Arial"/>
        <family val="2"/>
      </rPr>
      <t>-1</t>
    </r>
    <r>
      <rPr>
        <sz val="8"/>
        <rFont val="Arial"/>
        <family val="2"/>
      </rPr>
      <t>)</t>
    </r>
  </si>
  <si>
    <r>
      <t>(l ha</t>
    </r>
    <r>
      <rPr>
        <vertAlign val="superscript"/>
        <sz val="8"/>
        <rFont val="Arial"/>
        <family val="2"/>
      </rPr>
      <t>-1</t>
    </r>
    <r>
      <rPr>
        <sz val="8"/>
        <rFont val="Arial"/>
        <family val="2"/>
      </rPr>
      <t>)</t>
    </r>
  </si>
  <si>
    <t>Cultivation</t>
  </si>
  <si>
    <t>Ploughing</t>
  </si>
  <si>
    <t>Plough</t>
  </si>
  <si>
    <t>Power harrowing</t>
  </si>
  <si>
    <t>Power harrow</t>
  </si>
  <si>
    <t>Rolling</t>
  </si>
  <si>
    <t>Cambridge rolls</t>
  </si>
  <si>
    <t>Discing</t>
  </si>
  <si>
    <t>Disc and pack</t>
  </si>
  <si>
    <t>Drilling</t>
  </si>
  <si>
    <t>Drill</t>
  </si>
  <si>
    <t>Spraying</t>
  </si>
  <si>
    <t>Self propelled sprayer</t>
  </si>
  <si>
    <t>Fertilising</t>
  </si>
  <si>
    <t>Harvesting</t>
  </si>
  <si>
    <t>Combining cereals</t>
  </si>
  <si>
    <t>Combine harvester</t>
  </si>
  <si>
    <t>Baling</t>
  </si>
  <si>
    <t>Baler</t>
  </si>
  <si>
    <t>Carting</t>
  </si>
  <si>
    <t>Carting trailer</t>
  </si>
  <si>
    <r>
      <t>Diesel Total (l ha</t>
    </r>
    <r>
      <rPr>
        <b/>
        <vertAlign val="superscript"/>
        <sz val="8"/>
        <color rgb="FF000000"/>
        <rFont val="Arial"/>
        <family val="2"/>
      </rPr>
      <t>-1</t>
    </r>
    <r>
      <rPr>
        <b/>
        <sz val="8"/>
        <color rgb="FF000000"/>
        <rFont val="Arial"/>
        <family val="2"/>
      </rPr>
      <t>)</t>
    </r>
  </si>
  <si>
    <t>Cultivating</t>
  </si>
  <si>
    <t>Cultivator</t>
  </si>
  <si>
    <t>OSR harvesting</t>
  </si>
  <si>
    <t>Sugar beet harvesting</t>
  </si>
  <si>
    <t>Sugar beet harvester</t>
  </si>
  <si>
    <t>Seedbed prep and drilling</t>
  </si>
  <si>
    <t>Forage harvesting</t>
  </si>
  <si>
    <t>Forage harvester</t>
  </si>
  <si>
    <t>SRC (establishment year)</t>
  </si>
  <si>
    <t>Subsoiling</t>
  </si>
  <si>
    <t>Subsoiler</t>
  </si>
  <si>
    <t>Planting</t>
  </si>
  <si>
    <t>Potato planting</t>
  </si>
  <si>
    <t>Potato planter</t>
  </si>
  <si>
    <t>Mowing</t>
  </si>
  <si>
    <t>Mower</t>
  </si>
  <si>
    <t>SRC (no harvest years)</t>
  </si>
  <si>
    <t>SRC (harvest years)</t>
  </si>
  <si>
    <t>Miscanthus (establishment year)</t>
  </si>
  <si>
    <t>Sida (establishment year)</t>
  </si>
  <si>
    <t>Tractor 200 kW</t>
  </si>
  <si>
    <t>Mechanical weeding</t>
  </si>
  <si>
    <t>Silphium (establishment year)</t>
  </si>
  <si>
    <t>Seedbed prep and sowing</t>
  </si>
  <si>
    <r>
      <rPr>
        <b/>
        <sz val="9"/>
        <rFont val="Arial"/>
        <family val="2"/>
      </rPr>
      <t>Sector</t>
    </r>
  </si>
  <si>
    <r>
      <rPr>
        <b/>
        <sz val="9"/>
        <rFont val="Arial"/>
        <family val="2"/>
      </rPr>
      <t>Agriculture, Forestry and Other Land Use</t>
    </r>
  </si>
  <si>
    <r>
      <rPr>
        <b/>
        <sz val="9"/>
        <rFont val="Arial"/>
        <family val="2"/>
      </rPr>
      <t>Category</t>
    </r>
  </si>
  <si>
    <r>
      <rPr>
        <b/>
        <sz val="9"/>
        <rFont val="Arial"/>
        <family val="2"/>
      </rPr>
      <t>Cropland Remaining Cropland: Annual change in carbon stocks in biomass</t>
    </r>
  </si>
  <si>
    <r>
      <rPr>
        <b/>
        <sz val="9"/>
        <rFont val="Arial"/>
        <family val="2"/>
      </rPr>
      <t>Category code</t>
    </r>
  </si>
  <si>
    <r>
      <rPr>
        <b/>
        <sz val="9"/>
        <rFont val="Arial"/>
        <family val="2"/>
      </rPr>
      <t>3B2a</t>
    </r>
  </si>
  <si>
    <r>
      <rPr>
        <b/>
        <sz val="9"/>
        <rFont val="Arial"/>
        <family val="2"/>
      </rPr>
      <t>Sheet</t>
    </r>
  </si>
  <si>
    <r>
      <rPr>
        <b/>
        <sz val="9"/>
        <rFont val="Arial"/>
        <family val="2"/>
      </rPr>
      <t>1 of 1</t>
    </r>
  </si>
  <si>
    <r>
      <rPr>
        <b/>
        <sz val="9"/>
        <rFont val="Arial"/>
        <family val="2"/>
      </rPr>
      <t>Equation</t>
    </r>
  </si>
  <si>
    <t xml:space="preserve">Equation 2.2 </t>
  </si>
  <si>
    <r>
      <t>Equation 2.7</t>
    </r>
    <r>
      <rPr>
        <b/>
        <vertAlign val="superscript"/>
        <sz val="9"/>
        <rFont val="Arial"/>
        <family val="2"/>
      </rPr>
      <t>1</t>
    </r>
  </si>
  <si>
    <r>
      <rPr>
        <b/>
        <sz val="9"/>
        <rFont val="Arial"/>
        <family val="2"/>
      </rPr>
      <t>Land-use category</t>
    </r>
  </si>
  <si>
    <r>
      <rPr>
        <b/>
        <sz val="9"/>
        <rFont val="Arial"/>
        <family val="2"/>
      </rPr>
      <t>Subcategories for reporting year</t>
    </r>
  </si>
  <si>
    <r>
      <rPr>
        <b/>
        <sz val="9"/>
        <rFont val="Arial"/>
        <family val="2"/>
      </rPr>
      <t>Annual growth of perennial
woody biomass</t>
    </r>
    <r>
      <rPr>
        <b/>
        <vertAlign val="superscript"/>
        <sz val="9"/>
        <rFont val="Arial"/>
        <family val="2"/>
      </rPr>
      <t>2</t>
    </r>
  </si>
  <si>
    <r>
      <rPr>
        <b/>
        <sz val="9"/>
        <rFont val="Arial"/>
        <family val="2"/>
      </rPr>
      <t>Annual carbon stock in biomass
removed (removal or harvest)</t>
    </r>
    <r>
      <rPr>
        <b/>
        <vertAlign val="superscript"/>
        <sz val="9"/>
        <rFont val="Arial"/>
        <family val="2"/>
      </rPr>
      <t>3</t>
    </r>
  </si>
  <si>
    <r>
      <rPr>
        <b/>
        <sz val="9"/>
        <rFont val="Arial"/>
        <family val="2"/>
      </rPr>
      <t>Annual change in carbon stocks in biomass</t>
    </r>
    <r>
      <rPr>
        <b/>
        <vertAlign val="superscript"/>
        <sz val="9"/>
        <rFont val="Arial"/>
        <family val="2"/>
      </rPr>
      <t>4</t>
    </r>
  </si>
  <si>
    <r>
      <rPr>
        <b/>
        <sz val="9"/>
        <rFont val="Arial"/>
        <family val="2"/>
      </rPr>
      <t>Initial land use</t>
    </r>
  </si>
  <si>
    <r>
      <rPr>
        <b/>
        <sz val="9"/>
        <rFont val="Arial"/>
        <family val="2"/>
      </rPr>
      <t>Land use
during reporting
year</t>
    </r>
  </si>
  <si>
    <r>
      <rPr>
        <b/>
        <sz val="9"/>
        <rFont val="Arial"/>
        <family val="2"/>
      </rPr>
      <t>(tonnes C yr</t>
    </r>
    <r>
      <rPr>
        <b/>
        <vertAlign val="superscript"/>
        <sz val="9"/>
        <rFont val="Arial"/>
        <family val="2"/>
      </rPr>
      <t>-1</t>
    </r>
    <r>
      <rPr>
        <b/>
        <sz val="9"/>
        <rFont val="Arial"/>
        <family val="2"/>
      </rPr>
      <t>)</t>
    </r>
  </si>
  <si>
    <r>
      <rPr>
        <b/>
        <sz val="9"/>
        <rFont val="Arial"/>
        <family val="2"/>
      </rPr>
      <t>National estimates, or Table 5.1</t>
    </r>
  </si>
  <si>
    <r>
      <rPr>
        <b/>
        <sz val="9"/>
        <rFont val="Arial"/>
        <family val="2"/>
      </rPr>
      <t>∆CB = ∆CG - ∆CL</t>
    </r>
  </si>
  <si>
    <r>
      <rPr>
        <b/>
        <sz val="9"/>
        <rFont val="Arial"/>
        <family val="2"/>
      </rPr>
      <t>∆CG</t>
    </r>
  </si>
  <si>
    <r>
      <rPr>
        <b/>
        <sz val="9"/>
        <rFont val="Arial"/>
        <family val="2"/>
      </rPr>
      <t>∆CL</t>
    </r>
  </si>
  <si>
    <r>
      <rPr>
        <b/>
        <sz val="9"/>
        <rFont val="Symbol"/>
        <family val="1"/>
        <charset val="2"/>
      </rPr>
      <t></t>
    </r>
    <r>
      <rPr>
        <b/>
        <sz val="9"/>
        <rFont val="Arial"/>
        <family val="2"/>
      </rPr>
      <t>CB</t>
    </r>
  </si>
  <si>
    <r>
      <rPr>
        <b/>
        <sz val="9"/>
        <rFont val="Arial"/>
        <family val="2"/>
      </rPr>
      <t>CL</t>
    </r>
  </si>
  <si>
    <r>
      <rPr>
        <b/>
        <sz val="9"/>
        <rFont val="Arial"/>
        <family val="2"/>
      </rPr>
      <t>Total</t>
    </r>
  </si>
  <si>
    <r>
      <rPr>
        <vertAlign val="superscript"/>
        <sz val="5"/>
        <rFont val="Arial"/>
        <family val="2"/>
      </rPr>
      <t>1</t>
    </r>
    <r>
      <rPr>
        <sz val="8"/>
        <rFont val="Arial"/>
        <family val="2"/>
      </rPr>
      <t xml:space="preserve"> Multiplying per ha values from Table 5.1 is required here according to text in Section 5.2.1.
</t>
    </r>
    <r>
      <rPr>
        <vertAlign val="superscript"/>
        <sz val="5"/>
        <rFont val="Arial"/>
        <family val="2"/>
      </rPr>
      <t>2</t>
    </r>
    <r>
      <rPr>
        <sz val="8"/>
        <rFont val="Arial"/>
        <family val="2"/>
      </rPr>
      <t>Annual growth of perennial woody biomass (ΔC</t>
    </r>
    <r>
      <rPr>
        <sz val="5"/>
        <rFont val="Arial"/>
        <family val="2"/>
      </rPr>
      <t>G</t>
    </r>
    <r>
      <rPr>
        <sz val="8"/>
        <rFont val="Arial"/>
        <family val="2"/>
      </rPr>
      <t xml:space="preserve">) is equal to the area of perennial crop that is not mature times biomass accumulation rate (G) using a national estimate or data from Table 5.1.
</t>
    </r>
    <r>
      <rPr>
        <vertAlign val="superscript"/>
        <sz val="5"/>
        <rFont val="Arial"/>
        <family val="2"/>
      </rPr>
      <t>3</t>
    </r>
    <r>
      <rPr>
        <sz val="8"/>
        <rFont val="Arial"/>
        <family val="2"/>
      </rPr>
      <t>Annual carbon stock in biomass removed (Δ C</t>
    </r>
    <r>
      <rPr>
        <sz val="5"/>
        <rFont val="Arial"/>
        <family val="2"/>
      </rPr>
      <t>L</t>
    </r>
    <r>
      <rPr>
        <sz val="8"/>
        <rFont val="Arial"/>
        <family val="2"/>
      </rPr>
      <t xml:space="preserve">) is equal to the area of perennial crops that is annually harvested times the area-specific carbon stock value that is lost (L) using a national estimate or biomass carbon loss
data from Table 5.1.
</t>
    </r>
    <r>
      <rPr>
        <vertAlign val="superscript"/>
        <sz val="5"/>
        <rFont val="Arial"/>
        <family val="2"/>
      </rPr>
      <t>4</t>
    </r>
    <r>
      <rPr>
        <sz val="8"/>
        <rFont val="Arial"/>
        <family val="2"/>
      </rPr>
      <t xml:space="preserve"> If the area of perennial crops that was harvested in the inventory year equals the mean harvested area over the entire harvest cycle of the perennial crop, the annual change in carbon stocks in biomass can be taken to be
zero, and ΔC</t>
    </r>
    <r>
      <rPr>
        <sz val="5"/>
        <rFont val="Arial"/>
        <family val="2"/>
      </rPr>
      <t xml:space="preserve">G </t>
    </r>
    <r>
      <rPr>
        <sz val="8"/>
        <rFont val="Arial"/>
        <family val="2"/>
      </rPr>
      <t>and ΔC</t>
    </r>
    <r>
      <rPr>
        <sz val="5"/>
        <rFont val="Arial"/>
        <family val="2"/>
      </rPr>
      <t xml:space="preserve">L </t>
    </r>
    <r>
      <rPr>
        <sz val="8"/>
        <rFont val="Arial"/>
        <family val="2"/>
      </rPr>
      <t>do not need to be estimated.</t>
    </r>
  </si>
  <si>
    <t>AG biomass accummulation rate (G)</t>
  </si>
  <si>
    <t>dead wood</t>
  </si>
  <si>
    <t>t DM</t>
  </si>
  <si>
    <t>litter</t>
  </si>
  <si>
    <t>herbaceous biomass</t>
  </si>
  <si>
    <t>SRC (Willow)</t>
  </si>
  <si>
    <t>Heinsoo, K. and Tali, K. (2018)</t>
  </si>
  <si>
    <t>shoot to root = 8,10.5,6.5,6.5,10,11.5,4.5,5.5</t>
  </si>
  <si>
    <t xml:space="preserve">shoot to root = 2.57; root to shoot = </t>
  </si>
  <si>
    <t>Own results</t>
  </si>
  <si>
    <t>root to shoot =</t>
  </si>
  <si>
    <t>root = 8.4 t DM per ha =&gt; root to shoot =</t>
  </si>
  <si>
    <t>Gw</t>
  </si>
  <si>
    <t>Mathews 2001</t>
  </si>
  <si>
    <t>Clifton-Brown 2007</t>
  </si>
  <si>
    <t>Same as Silphium</t>
  </si>
  <si>
    <t>Schoo et al 2017</t>
  </si>
  <si>
    <r>
      <rPr>
        <b/>
        <sz val="9"/>
        <rFont val="Arial"/>
        <family val="2"/>
      </rPr>
      <t>Cropland Remaining Cropland: Annual change in carbon stocks in mineral soils</t>
    </r>
  </si>
  <si>
    <r>
      <rPr>
        <b/>
        <sz val="9"/>
        <rFont val="Arial"/>
        <family val="2"/>
      </rPr>
      <t>3B2a (Updated)</t>
    </r>
  </si>
  <si>
    <r>
      <rPr>
        <b/>
        <sz val="9"/>
        <rFont val="Arial"/>
        <family val="2"/>
      </rPr>
      <t>3 of 4</t>
    </r>
  </si>
  <si>
    <r>
      <rPr>
        <b/>
        <sz val="9"/>
        <rFont val="Arial"/>
        <family val="2"/>
      </rPr>
      <t>Equation 2.25, Formulation A in Box 2.1 of Section 2.3.3.1</t>
    </r>
  </si>
  <si>
    <r>
      <rPr>
        <sz val="9"/>
        <rFont val="Arial"/>
        <family val="2"/>
      </rPr>
      <t>Land-use category</t>
    </r>
  </si>
  <si>
    <r>
      <rPr>
        <sz val="9"/>
        <rFont val="Arial"/>
        <family val="2"/>
      </rPr>
      <t>Subcategories
for reporting
year</t>
    </r>
  </si>
  <si>
    <r>
      <rPr>
        <sz val="9"/>
        <rFont val="Arial"/>
        <family val="2"/>
      </rPr>
      <t>Area at the
beginning of an
inventory period</t>
    </r>
  </si>
  <si>
    <r>
      <rPr>
        <sz val="9"/>
        <rFont val="Arial"/>
        <family val="2"/>
      </rPr>
      <t>Reference
carbon stock</t>
    </r>
  </si>
  <si>
    <r>
      <rPr>
        <sz val="9"/>
        <rFont val="Arial"/>
        <family val="2"/>
      </rPr>
      <t>Stock change factor
for land-use system
or sub-system</t>
    </r>
  </si>
  <si>
    <r>
      <rPr>
        <sz val="9"/>
        <rFont val="Arial"/>
        <family val="2"/>
      </rPr>
      <t>Stock change factor
for management
regime</t>
    </r>
  </si>
  <si>
    <r>
      <rPr>
        <sz val="9"/>
        <rFont val="Arial"/>
        <family val="2"/>
      </rPr>
      <t>Stock change factor
for input of organic
matter</t>
    </r>
  </si>
  <si>
    <r>
      <rPr>
        <sz val="9"/>
        <rFont val="Arial"/>
        <family val="2"/>
      </rPr>
      <t>Mineral Soil
Organic C stock at
the beginning of the
inventory time
period</t>
    </r>
  </si>
  <si>
    <r>
      <rPr>
        <sz val="9"/>
        <rFont val="Arial"/>
        <family val="2"/>
      </rPr>
      <t>Initial land use</t>
    </r>
  </si>
  <si>
    <r>
      <rPr>
        <sz val="9"/>
        <rFont val="Arial"/>
        <family val="2"/>
      </rPr>
      <t>Land use during reporting year</t>
    </r>
  </si>
  <si>
    <r>
      <rPr>
        <sz val="9"/>
        <rFont val="Arial"/>
        <family val="2"/>
      </rPr>
      <t>(ha)</t>
    </r>
  </si>
  <si>
    <r>
      <rPr>
        <sz val="9"/>
        <rFont val="Arial"/>
        <family val="2"/>
      </rPr>
      <t>(tonnes C ha</t>
    </r>
    <r>
      <rPr>
        <vertAlign val="superscript"/>
        <sz val="9"/>
        <rFont val="Arial"/>
        <family val="2"/>
      </rPr>
      <t>-1</t>
    </r>
    <r>
      <rPr>
        <sz val="9"/>
        <rFont val="Arial"/>
        <family val="2"/>
      </rPr>
      <t>)</t>
    </r>
  </si>
  <si>
    <r>
      <rPr>
        <sz val="9"/>
        <rFont val="Arial"/>
        <family val="2"/>
      </rPr>
      <t>(-)</t>
    </r>
  </si>
  <si>
    <r>
      <rPr>
        <sz val="9"/>
        <rFont val="Arial"/>
        <family val="2"/>
      </rPr>
      <t>(tonnes C)</t>
    </r>
  </si>
  <si>
    <r>
      <rPr>
        <sz val="9"/>
        <rFont val="Arial"/>
        <family val="2"/>
      </rPr>
      <t>Table 2.3</t>
    </r>
  </si>
  <si>
    <r>
      <rPr>
        <sz val="9"/>
        <rFont val="Arial"/>
        <family val="2"/>
      </rPr>
      <t>Table 5.5</t>
    </r>
  </si>
  <si>
    <r>
      <rPr>
        <sz val="9"/>
        <rFont val="Arial"/>
        <family val="2"/>
      </rPr>
      <t>SOC(0-T) in
Equation 2.25</t>
    </r>
  </si>
  <si>
    <r>
      <rPr>
        <b/>
        <sz val="9"/>
        <rFont val="Arial"/>
        <family val="2"/>
      </rPr>
      <t>A(0-T)</t>
    </r>
  </si>
  <si>
    <r>
      <rPr>
        <b/>
        <sz val="9"/>
        <rFont val="Arial"/>
        <family val="2"/>
      </rPr>
      <t>SOCref</t>
    </r>
  </si>
  <si>
    <r>
      <rPr>
        <b/>
        <sz val="9"/>
        <rFont val="Arial"/>
        <family val="2"/>
      </rPr>
      <t>FLU</t>
    </r>
  </si>
  <si>
    <r>
      <rPr>
        <b/>
        <sz val="9"/>
        <rFont val="Arial"/>
        <family val="2"/>
      </rPr>
      <t>FMG</t>
    </r>
  </si>
  <si>
    <r>
      <rPr>
        <b/>
        <sz val="9"/>
        <rFont val="Arial"/>
        <family val="2"/>
      </rPr>
      <t>FI</t>
    </r>
  </si>
  <si>
    <r>
      <rPr>
        <sz val="9"/>
        <rFont val="Arial"/>
        <family val="2"/>
      </rPr>
      <t>SOC(0-T)</t>
    </r>
  </si>
  <si>
    <r>
      <rPr>
        <sz val="9"/>
        <rFont val="Arial"/>
        <family val="2"/>
      </rPr>
      <t>CL</t>
    </r>
  </si>
  <si>
    <t>arable</t>
  </si>
  <si>
    <t>energy</t>
  </si>
  <si>
    <t>Arable</t>
  </si>
  <si>
    <r>
      <t>F</t>
    </r>
    <r>
      <rPr>
        <vertAlign val="subscript"/>
        <sz val="8"/>
        <color rgb="FF000000"/>
        <rFont val="Arial"/>
        <family val="2"/>
      </rPr>
      <t>LU</t>
    </r>
  </si>
  <si>
    <r>
      <t>F</t>
    </r>
    <r>
      <rPr>
        <vertAlign val="subscript"/>
        <sz val="8"/>
        <color rgb="FF000000"/>
        <rFont val="Arial"/>
        <family val="2"/>
      </rPr>
      <t>MG</t>
    </r>
  </si>
  <si>
    <r>
      <t>F</t>
    </r>
    <r>
      <rPr>
        <vertAlign val="subscript"/>
        <sz val="8"/>
        <color rgb="FF000000"/>
        <rFont val="Arial"/>
        <family val="2"/>
      </rPr>
      <t>I</t>
    </r>
  </si>
  <si>
    <r>
      <t>SOC</t>
    </r>
    <r>
      <rPr>
        <vertAlign val="subscript"/>
        <sz val="8"/>
        <color rgb="FF000000"/>
        <rFont val="Arial"/>
        <family val="2"/>
      </rPr>
      <t>ref</t>
    </r>
  </si>
  <si>
    <t>cool temperate moist</t>
  </si>
  <si>
    <r>
      <rPr>
        <b/>
        <sz val="9"/>
        <rFont val="Arial"/>
        <family val="2"/>
      </rPr>
      <t>2 of 4</t>
    </r>
  </si>
  <si>
    <r>
      <rPr>
        <b/>
        <sz val="9"/>
        <rFont val="Arial"/>
        <family val="2"/>
      </rPr>
      <t>Equation 2.2</t>
    </r>
  </si>
  <si>
    <r>
      <rPr>
        <sz val="9"/>
        <rFont val="Arial"/>
        <family val="2"/>
      </rPr>
      <t>Area in the last year
of an inventory
period</t>
    </r>
  </si>
  <si>
    <r>
      <rPr>
        <sz val="9"/>
        <rFont val="Arial"/>
        <family val="2"/>
      </rPr>
      <t>Mineral Soil
Organic C stock in
the last year of the
inventory time
period</t>
    </r>
  </si>
  <si>
    <r>
      <rPr>
        <sz val="9"/>
        <rFont val="Arial"/>
        <family val="2"/>
      </rPr>
      <t>SOC(0) in Equation
2.25</t>
    </r>
  </si>
  <si>
    <r>
      <rPr>
        <b/>
        <sz val="9"/>
        <rFont val="Arial"/>
        <family val="2"/>
      </rPr>
      <t>A(0)</t>
    </r>
  </si>
  <si>
    <r>
      <rPr>
        <sz val="9"/>
        <rFont val="Arial"/>
        <family val="2"/>
      </rPr>
      <t>SOC(0)</t>
    </r>
  </si>
  <si>
    <r>
      <rPr>
        <b/>
        <sz val="9"/>
        <rFont val="Arial"/>
        <family val="2"/>
      </rPr>
      <t>CHAPTER 2  CROPLAND  CROPLAND REMAINING CROPLAND</t>
    </r>
  </si>
  <si>
    <r>
      <rPr>
        <b/>
        <sz val="9"/>
        <rFont val="Arial"/>
        <family val="2"/>
      </rPr>
      <t>1 of 4</t>
    </r>
  </si>
  <si>
    <r>
      <rPr>
        <sz val="9"/>
        <rFont val="Arial"/>
        <family val="2"/>
      </rPr>
      <t>Mineral Soil Organic C stock in
the last year of the inventory
time period</t>
    </r>
  </si>
  <si>
    <r>
      <rPr>
        <sz val="9"/>
        <rFont val="Arial"/>
        <family val="2"/>
      </rPr>
      <t>Mineral Soil Organic C stock at
the beginning of the inventory
time period</t>
    </r>
  </si>
  <si>
    <r>
      <rPr>
        <sz val="9"/>
        <rFont val="Arial"/>
        <family val="2"/>
      </rPr>
      <t>Time dependence of stock
change factors (D) or number
of years over a single inventory
time period (T)</t>
    </r>
  </si>
  <si>
    <r>
      <rPr>
        <sz val="9"/>
        <rFont val="Arial"/>
        <family val="2"/>
      </rPr>
      <t>Annual change in carbon stocks in mineral soils</t>
    </r>
  </si>
  <si>
    <r>
      <rPr>
        <sz val="9"/>
        <rFont val="Arial"/>
        <family val="2"/>
      </rPr>
      <t>(yr)</t>
    </r>
  </si>
  <si>
    <r>
      <rPr>
        <sz val="9"/>
        <rFont val="Arial"/>
        <family val="2"/>
      </rPr>
      <t>(tonnes C yr</t>
    </r>
    <r>
      <rPr>
        <vertAlign val="superscript"/>
        <sz val="9"/>
        <rFont val="Arial"/>
        <family val="2"/>
      </rPr>
      <t>-1</t>
    </r>
    <r>
      <rPr>
        <sz val="9"/>
        <rFont val="Arial"/>
        <family val="2"/>
      </rPr>
      <t>)</t>
    </r>
  </si>
  <si>
    <r>
      <rPr>
        <sz val="9"/>
        <rFont val="Arial"/>
        <family val="2"/>
      </rPr>
      <t>SOC(0) in Equation 2.25</t>
    </r>
  </si>
  <si>
    <r>
      <rPr>
        <sz val="9"/>
        <rFont val="Arial"/>
        <family val="2"/>
      </rPr>
      <t>SOC(0-T) in Equation 2.25</t>
    </r>
  </si>
  <si>
    <r>
      <rPr>
        <sz val="9"/>
        <rFont val="Arial"/>
        <family val="2"/>
      </rPr>
      <t>(default is 20 yr; if T&gt;D then
use the value of T)</t>
    </r>
  </si>
  <si>
    <r>
      <rPr>
        <b/>
        <sz val="9"/>
        <rFont val="Arial"/>
        <family val="2"/>
      </rPr>
      <t>∆</t>
    </r>
    <r>
      <rPr>
        <sz val="9"/>
        <rFont val="Arial"/>
        <family val="2"/>
      </rPr>
      <t>CMineral as in Equation 2.25</t>
    </r>
  </si>
  <si>
    <r>
      <rPr>
        <b/>
        <sz val="9"/>
        <rFont val="Arial"/>
        <family val="2"/>
      </rPr>
      <t>D</t>
    </r>
  </si>
  <si>
    <r>
      <rPr>
        <b/>
        <sz val="9"/>
        <rFont val="Arial"/>
        <family val="2"/>
      </rPr>
      <t>∆CMineral</t>
    </r>
  </si>
  <si>
    <t>Cropland Remaining Cropland: Annual change in carbon stocks in litter</t>
  </si>
  <si>
    <t>Equation 2.19</t>
  </si>
  <si>
    <t>Area</t>
  </si>
  <si>
    <t>Litter stock at time t1</t>
  </si>
  <si>
    <t>Litter stock at time t2</t>
  </si>
  <si>
    <t>time period</t>
  </si>
  <si>
    <t>carbon fraction</t>
  </si>
  <si>
    <t>Annual change in carbon stocks in litter</t>
  </si>
  <si>
    <t>(ha)</t>
  </si>
  <si>
    <r>
      <t>(tonnes DM ha</t>
    </r>
    <r>
      <rPr>
        <b/>
        <vertAlign val="superscript"/>
        <sz val="9"/>
        <rFont val="Arial"/>
        <family val="2"/>
      </rPr>
      <t>-1</t>
    </r>
    <r>
      <rPr>
        <b/>
        <sz val="9"/>
        <rFont val="Arial"/>
        <family val="2"/>
      </rPr>
      <t>)</t>
    </r>
  </si>
  <si>
    <t>(y)</t>
  </si>
  <si>
    <r>
      <t>DOM</t>
    </r>
    <r>
      <rPr>
        <b/>
        <vertAlign val="subscript"/>
        <sz val="9"/>
        <rFont val="Arial"/>
        <family val="2"/>
      </rPr>
      <t>t1</t>
    </r>
  </si>
  <si>
    <r>
      <t>DOM</t>
    </r>
    <r>
      <rPr>
        <b/>
        <vertAlign val="subscript"/>
        <sz val="9"/>
        <rFont val="Arial"/>
        <family val="2"/>
      </rPr>
      <t>t2</t>
    </r>
  </si>
  <si>
    <r>
      <t>∆C</t>
    </r>
    <r>
      <rPr>
        <b/>
        <vertAlign val="subscript"/>
        <sz val="9"/>
        <rFont val="Arial"/>
        <family val="2"/>
      </rPr>
      <t>DOM</t>
    </r>
  </si>
  <si>
    <t>CL</t>
  </si>
  <si>
    <t>T = (t2 – t1) = period of time between second stock estimate and first stock estimate (y)</t>
  </si>
  <si>
    <t>7.4 t DM ha-1 in 4 years</t>
  </si>
  <si>
    <t>29-42% of production</t>
  </si>
  <si>
    <t>Lewandowski et al. (2000)</t>
  </si>
  <si>
    <t>Yield</t>
  </si>
  <si>
    <r>
      <rPr>
        <b/>
        <sz val="9"/>
        <rFont val="Arial"/>
        <family val="2"/>
      </rPr>
      <t>Urea Fertilization: Annual CO</t>
    </r>
    <r>
      <rPr>
        <b/>
        <sz val="6"/>
        <rFont val="Arial"/>
        <family val="2"/>
      </rPr>
      <t xml:space="preserve">2 </t>
    </r>
    <r>
      <rPr>
        <b/>
        <sz val="9"/>
        <rFont val="Arial"/>
        <family val="2"/>
      </rPr>
      <t>emissions from Urea Fertilization</t>
    </r>
  </si>
  <si>
    <r>
      <rPr>
        <b/>
        <sz val="9"/>
        <rFont val="Arial"/>
        <family val="2"/>
      </rPr>
      <t>3C3</t>
    </r>
  </si>
  <si>
    <r>
      <rPr>
        <b/>
        <sz val="9"/>
        <rFont val="Arial"/>
        <family val="2"/>
      </rPr>
      <t>Equation 11.13</t>
    </r>
  </si>
  <si>
    <r>
      <rPr>
        <sz val="9"/>
        <rFont val="Arial"/>
        <family val="2"/>
      </rPr>
      <t xml:space="preserve">Subcategories for
</t>
    </r>
    <r>
      <rPr>
        <sz val="9"/>
        <rFont val="Arial"/>
        <family val="2"/>
      </rPr>
      <t>reporting year</t>
    </r>
  </si>
  <si>
    <t>Annual amount of Ammonium Nitrate Fertilization</t>
  </si>
  <si>
    <r>
      <rPr>
        <sz val="9"/>
        <rFont val="Arial"/>
        <family val="2"/>
      </rPr>
      <t>Emission factor</t>
    </r>
  </si>
  <si>
    <r>
      <rPr>
        <sz val="9"/>
        <rFont val="Arial"/>
        <family val="2"/>
      </rPr>
      <t>Annual CO</t>
    </r>
    <r>
      <rPr>
        <sz val="6"/>
        <rFont val="Arial"/>
        <family val="2"/>
      </rPr>
      <t>2</t>
    </r>
    <r>
      <rPr>
        <sz val="9"/>
        <rFont val="Arial"/>
        <family val="2"/>
      </rPr>
      <t>-C emissions from Nitrogen Fertilization</t>
    </r>
  </si>
  <si>
    <r>
      <rPr>
        <sz val="9"/>
        <rFont val="Arial"/>
        <family val="2"/>
      </rPr>
      <t>(t NH</t>
    </r>
    <r>
      <rPr>
        <vertAlign val="subscript"/>
        <sz val="9"/>
        <rFont val="Arial"/>
        <family val="2"/>
      </rPr>
      <t>4</t>
    </r>
    <r>
      <rPr>
        <sz val="9"/>
        <rFont val="Arial"/>
        <family val="2"/>
      </rPr>
      <t>NO</t>
    </r>
    <r>
      <rPr>
        <vertAlign val="subscript"/>
        <sz val="9"/>
        <rFont val="Arial"/>
        <family val="2"/>
      </rPr>
      <t xml:space="preserve">3 </t>
    </r>
    <r>
      <rPr>
        <sz val="9"/>
        <rFont val="Arial"/>
        <family val="2"/>
      </rPr>
      <t>y</t>
    </r>
    <r>
      <rPr>
        <vertAlign val="superscript"/>
        <sz val="9"/>
        <rFont val="Arial"/>
        <family val="2"/>
      </rPr>
      <t>-1</t>
    </r>
    <r>
      <rPr>
        <sz val="9"/>
        <rFont val="Arial"/>
        <family val="2"/>
      </rPr>
      <t>)</t>
    </r>
  </si>
  <si>
    <t>(t C / tonne of urea)</t>
  </si>
  <si>
    <r>
      <rPr>
        <sz val="9"/>
        <rFont val="Arial"/>
        <family val="2"/>
      </rPr>
      <t>(t C y</t>
    </r>
    <r>
      <rPr>
        <vertAlign val="superscript"/>
        <sz val="9"/>
        <rFont val="Arial"/>
        <family val="2"/>
      </rPr>
      <t>-1</t>
    </r>
    <r>
      <rPr>
        <sz val="9"/>
        <rFont val="Arial"/>
        <family val="2"/>
      </rPr>
      <t>)</t>
    </r>
  </si>
  <si>
    <r>
      <rPr>
        <sz val="9"/>
        <rFont val="Arial"/>
        <family val="2"/>
      </rPr>
      <t>default is 0.20</t>
    </r>
  </si>
  <si>
    <r>
      <rPr>
        <sz val="9"/>
        <rFont val="Arial"/>
        <family val="2"/>
      </rPr>
      <t>CO</t>
    </r>
    <r>
      <rPr>
        <sz val="6"/>
        <rFont val="Arial"/>
        <family val="2"/>
      </rPr>
      <t>2</t>
    </r>
    <r>
      <rPr>
        <sz val="9"/>
        <rFont val="Arial"/>
        <family val="2"/>
      </rPr>
      <t>-C Emission = M * EF</t>
    </r>
  </si>
  <si>
    <r>
      <rPr>
        <b/>
        <sz val="9"/>
        <rFont val="Arial"/>
        <family val="2"/>
      </rPr>
      <t>M</t>
    </r>
  </si>
  <si>
    <r>
      <rPr>
        <b/>
        <sz val="9"/>
        <rFont val="Arial"/>
        <family val="2"/>
      </rPr>
      <t>EF</t>
    </r>
  </si>
  <si>
    <r>
      <rPr>
        <b/>
        <sz val="9"/>
        <rFont val="Arial"/>
        <family val="2"/>
      </rPr>
      <t>CO</t>
    </r>
    <r>
      <rPr>
        <b/>
        <sz val="6"/>
        <rFont val="Arial"/>
        <family val="2"/>
      </rPr>
      <t>2</t>
    </r>
    <r>
      <rPr>
        <b/>
        <sz val="9"/>
        <rFont val="Arial"/>
        <family val="2"/>
      </rPr>
      <t>-C Emission</t>
    </r>
  </si>
  <si>
    <t>Crop</t>
  </si>
  <si>
    <r>
      <t>N (kg ha</t>
    </r>
    <r>
      <rPr>
        <b/>
        <vertAlign val="superscript"/>
        <sz val="8"/>
        <color rgb="FF000000"/>
        <rFont val="Arial"/>
        <family val="2"/>
      </rPr>
      <t>-1</t>
    </r>
    <r>
      <rPr>
        <b/>
        <sz val="8"/>
        <color rgb="FF000000"/>
        <rFont val="Arial"/>
        <family val="2"/>
      </rPr>
      <t>)</t>
    </r>
  </si>
  <si>
    <r>
      <t>Ammonium nitrate (kg ha</t>
    </r>
    <r>
      <rPr>
        <vertAlign val="superscript"/>
        <sz val="11"/>
        <color rgb="FF000000"/>
        <rFont val="Calibri"/>
        <family val="2"/>
      </rPr>
      <t>-1</t>
    </r>
    <r>
      <rPr>
        <sz val="11"/>
        <color rgb="FF000000"/>
        <rFont val="Calibri"/>
        <family val="2"/>
      </rPr>
      <t>)</t>
    </r>
  </si>
  <si>
    <r>
      <rPr>
        <sz val="9"/>
        <rFont val="Arial"/>
        <family val="2"/>
      </rPr>
      <t>Annual CO</t>
    </r>
    <r>
      <rPr>
        <sz val="6"/>
        <rFont val="Arial"/>
        <family val="2"/>
      </rPr>
      <t>2</t>
    </r>
    <r>
      <rPr>
        <sz val="9"/>
        <rFont val="Arial"/>
        <family val="2"/>
      </rPr>
      <t>-C emissions from Urea Fertilization</t>
    </r>
  </si>
  <si>
    <r>
      <t>(t NH</t>
    </r>
    <r>
      <rPr>
        <vertAlign val="subscript"/>
        <sz val="9"/>
        <rFont val="Arial"/>
        <family val="2"/>
      </rPr>
      <t>4</t>
    </r>
    <r>
      <rPr>
        <sz val="9"/>
        <rFont val="Arial"/>
        <family val="2"/>
      </rPr>
      <t>NO</t>
    </r>
    <r>
      <rPr>
        <vertAlign val="subscript"/>
        <sz val="9"/>
        <rFont val="Arial"/>
        <family val="2"/>
      </rPr>
      <t>3</t>
    </r>
    <r>
      <rPr>
        <sz val="9"/>
        <rFont val="Arial"/>
        <family val="2"/>
      </rPr>
      <t xml:space="preserve"> y</t>
    </r>
    <r>
      <rPr>
        <vertAlign val="superscript"/>
        <sz val="9"/>
        <rFont val="Arial"/>
        <family val="2"/>
      </rPr>
      <t>-1</t>
    </r>
    <r>
      <rPr>
        <sz val="9"/>
        <rFont val="Arial"/>
        <family val="2"/>
      </rPr>
      <t>)</t>
    </r>
  </si>
  <si>
    <r>
      <rPr>
        <b/>
        <sz val="9"/>
        <rFont val="Arial"/>
        <family val="2"/>
      </rPr>
      <t>Direct N</t>
    </r>
    <r>
      <rPr>
        <b/>
        <sz val="6"/>
        <rFont val="Arial"/>
        <family val="2"/>
      </rPr>
      <t>2</t>
    </r>
    <r>
      <rPr>
        <b/>
        <sz val="9"/>
        <rFont val="Arial"/>
        <family val="2"/>
      </rPr>
      <t>O Emissions from Managed Soils</t>
    </r>
  </si>
  <si>
    <r>
      <rPr>
        <b/>
        <sz val="9"/>
        <rFont val="Arial"/>
        <family val="2"/>
      </rPr>
      <t>3C4</t>
    </r>
  </si>
  <si>
    <r>
      <rPr>
        <b/>
        <sz val="9"/>
        <rFont val="Arial"/>
        <family val="2"/>
      </rPr>
      <t>1 of 2</t>
    </r>
  </si>
  <si>
    <t>Equation 11.1</t>
  </si>
  <si>
    <r>
      <rPr>
        <sz val="9"/>
        <rFont val="Arial"/>
        <family val="2"/>
      </rPr>
      <t>Anthropogenic N input type</t>
    </r>
  </si>
  <si>
    <r>
      <rPr>
        <sz val="9"/>
        <rFont val="Arial"/>
        <family val="2"/>
      </rPr>
      <t>Annual amount of N applied</t>
    </r>
  </si>
  <si>
    <r>
      <rPr>
        <sz val="9"/>
        <rFont val="Arial"/>
        <family val="2"/>
      </rPr>
      <t>Emission factor for N</t>
    </r>
    <r>
      <rPr>
        <sz val="6"/>
        <rFont val="Arial"/>
        <family val="2"/>
      </rPr>
      <t>2</t>
    </r>
    <r>
      <rPr>
        <sz val="9"/>
        <rFont val="Arial"/>
        <family val="2"/>
      </rPr>
      <t xml:space="preserve">O </t>
    </r>
    <r>
      <rPr>
        <sz val="9"/>
        <rFont val="Arial"/>
        <family val="2"/>
      </rPr>
      <t>emissions from N inputs</t>
    </r>
  </si>
  <si>
    <r>
      <rPr>
        <sz val="9"/>
        <rFont val="Arial"/>
        <family val="2"/>
      </rPr>
      <t>Annual direct N</t>
    </r>
    <r>
      <rPr>
        <sz val="6"/>
        <rFont val="Arial"/>
        <family val="2"/>
      </rPr>
      <t>2</t>
    </r>
    <r>
      <rPr>
        <sz val="9"/>
        <rFont val="Arial"/>
        <family val="2"/>
      </rPr>
      <t xml:space="preserve">O-N
</t>
    </r>
    <r>
      <rPr>
        <sz val="9"/>
        <rFont val="Arial"/>
        <family val="2"/>
      </rPr>
      <t xml:space="preserve">emissions produced
</t>
    </r>
    <r>
      <rPr>
        <sz val="9"/>
        <rFont val="Arial"/>
        <family val="2"/>
      </rPr>
      <t>from managed soils</t>
    </r>
  </si>
  <si>
    <r>
      <rPr>
        <sz val="9"/>
        <rFont val="Arial"/>
        <family val="2"/>
      </rPr>
      <t>(kg N yr</t>
    </r>
    <r>
      <rPr>
        <vertAlign val="superscript"/>
        <sz val="9"/>
        <rFont val="Arial"/>
        <family val="2"/>
      </rPr>
      <t>-1</t>
    </r>
    <r>
      <rPr>
        <sz val="9"/>
        <rFont val="Arial"/>
        <family val="2"/>
      </rPr>
      <t>)</t>
    </r>
  </si>
  <si>
    <r>
      <rPr>
        <sz val="9"/>
        <rFont val="Arial"/>
        <family val="2"/>
      </rPr>
      <t>[kg N</t>
    </r>
    <r>
      <rPr>
        <sz val="6"/>
        <rFont val="Arial"/>
        <family val="2"/>
      </rPr>
      <t>2</t>
    </r>
    <r>
      <rPr>
        <sz val="9"/>
        <rFont val="Arial"/>
        <family val="2"/>
      </rPr>
      <t xml:space="preserve">O-N
</t>
    </r>
    <r>
      <rPr>
        <sz val="9"/>
        <rFont val="Arial"/>
        <family val="2"/>
      </rPr>
      <t>(kg N input)</t>
    </r>
    <r>
      <rPr>
        <vertAlign val="superscript"/>
        <sz val="9"/>
        <rFont val="Arial"/>
        <family val="2"/>
      </rPr>
      <t>-1</t>
    </r>
    <r>
      <rPr>
        <sz val="9"/>
        <rFont val="Arial"/>
        <family val="2"/>
      </rPr>
      <t>]</t>
    </r>
  </si>
  <si>
    <r>
      <rPr>
        <sz val="9"/>
        <rFont val="Arial"/>
        <family val="2"/>
      </rPr>
      <t>(kg N</t>
    </r>
    <r>
      <rPr>
        <sz val="6"/>
        <rFont val="Arial"/>
        <family val="2"/>
      </rPr>
      <t>2</t>
    </r>
    <r>
      <rPr>
        <sz val="9"/>
        <rFont val="Arial"/>
        <family val="2"/>
      </rPr>
      <t>O-N yr</t>
    </r>
    <r>
      <rPr>
        <vertAlign val="superscript"/>
        <sz val="9"/>
        <rFont val="Arial"/>
        <family val="2"/>
      </rPr>
      <t>-1</t>
    </r>
    <r>
      <rPr>
        <sz val="9"/>
        <rFont val="Arial"/>
        <family val="2"/>
      </rPr>
      <t>)</t>
    </r>
  </si>
  <si>
    <r>
      <rPr>
        <sz val="9"/>
        <rFont val="Arial"/>
        <family val="2"/>
      </rPr>
      <t>Table 11.1</t>
    </r>
  </si>
  <si>
    <r>
      <rPr>
        <sz val="9"/>
        <rFont val="Arial"/>
        <family val="2"/>
      </rPr>
      <t>N</t>
    </r>
    <r>
      <rPr>
        <sz val="6"/>
        <rFont val="Arial"/>
        <family val="2"/>
      </rPr>
      <t>2</t>
    </r>
    <r>
      <rPr>
        <sz val="9"/>
        <rFont val="Arial"/>
        <family val="2"/>
      </rPr>
      <t>O-N</t>
    </r>
    <r>
      <rPr>
        <sz val="6"/>
        <rFont val="Arial"/>
        <family val="2"/>
      </rPr>
      <t xml:space="preserve">N inputs </t>
    </r>
    <r>
      <rPr>
        <sz val="9"/>
        <rFont val="Arial"/>
        <family val="2"/>
      </rPr>
      <t>= F * EF</t>
    </r>
  </si>
  <si>
    <r>
      <rPr>
        <b/>
        <sz val="9"/>
        <rFont val="Arial"/>
        <family val="2"/>
      </rPr>
      <t>F</t>
    </r>
  </si>
  <si>
    <r>
      <rPr>
        <b/>
        <sz val="9"/>
        <rFont val="Arial"/>
        <family val="2"/>
      </rPr>
      <t>N</t>
    </r>
    <r>
      <rPr>
        <b/>
        <sz val="6"/>
        <rFont val="Arial"/>
        <family val="2"/>
      </rPr>
      <t>2</t>
    </r>
    <r>
      <rPr>
        <b/>
        <sz val="9"/>
        <rFont val="Arial"/>
        <family val="2"/>
      </rPr>
      <t>O-N</t>
    </r>
    <r>
      <rPr>
        <b/>
        <sz val="6"/>
        <rFont val="Arial"/>
        <family val="2"/>
      </rPr>
      <t>N inputs</t>
    </r>
  </si>
  <si>
    <r>
      <rPr>
        <sz val="9"/>
        <rFont val="Arial"/>
        <family val="2"/>
      </rPr>
      <t>synthetic fertilizers</t>
    </r>
  </si>
  <si>
    <r>
      <rPr>
        <sz val="9"/>
        <rFont val="Arial"/>
        <family val="2"/>
      </rPr>
      <t>F</t>
    </r>
    <r>
      <rPr>
        <sz val="6"/>
        <rFont val="Arial"/>
        <family val="2"/>
      </rPr>
      <t>SN</t>
    </r>
    <r>
      <rPr>
        <sz val="9"/>
        <rFont val="Arial"/>
        <family val="2"/>
      </rPr>
      <t>: N in synthetic fertilizers</t>
    </r>
  </si>
  <si>
    <r>
      <rPr>
        <sz val="9"/>
        <rFont val="Arial"/>
        <family val="2"/>
      </rPr>
      <t>EF</t>
    </r>
    <r>
      <rPr>
        <sz val="6"/>
        <rFont val="Arial"/>
        <family val="2"/>
      </rPr>
      <t>1</t>
    </r>
  </si>
  <si>
    <r>
      <rPr>
        <sz val="9"/>
        <rFont val="Arial"/>
        <family val="2"/>
      </rPr>
      <t>crop residues</t>
    </r>
  </si>
  <si>
    <r>
      <rPr>
        <sz val="9"/>
        <rFont val="Arial"/>
        <family val="2"/>
      </rPr>
      <t>F</t>
    </r>
    <r>
      <rPr>
        <sz val="6"/>
        <rFont val="Arial"/>
        <family val="2"/>
      </rPr>
      <t>CR</t>
    </r>
    <r>
      <rPr>
        <sz val="9"/>
        <rFont val="Arial"/>
        <family val="2"/>
      </rPr>
      <t>: N in crop residues</t>
    </r>
  </si>
  <si>
    <t>management</t>
  </si>
  <si>
    <r>
      <rPr>
        <sz val="9"/>
        <rFont val="Arial"/>
        <family val="2"/>
      </rPr>
      <t>F</t>
    </r>
    <r>
      <rPr>
        <sz val="6"/>
        <rFont val="Arial"/>
        <family val="2"/>
      </rPr>
      <t>SOM</t>
    </r>
    <r>
      <rPr>
        <sz val="9"/>
        <rFont val="Arial"/>
        <family val="2"/>
      </rPr>
      <t>: N mineralised in mineral soils, associated with loss of soil C from soil organic matter as a result of management</t>
    </r>
  </si>
  <si>
    <r>
      <t>F</t>
    </r>
    <r>
      <rPr>
        <vertAlign val="subscript"/>
        <sz val="8"/>
        <color theme="1"/>
        <rFont val="Arial"/>
        <family val="2"/>
      </rPr>
      <t>SN</t>
    </r>
    <r>
      <rPr>
        <sz val="8"/>
        <color theme="1"/>
        <rFont val="Arial"/>
        <family val="2"/>
      </rPr>
      <t xml:space="preserve"> = annual amount of synthetic fertiliser N applied to soils (kg N y</t>
    </r>
    <r>
      <rPr>
        <vertAlign val="superscript"/>
        <sz val="8"/>
        <color theme="1"/>
        <rFont val="Arial"/>
        <family val="2"/>
      </rPr>
      <t>-1</t>
    </r>
    <r>
      <rPr>
        <sz val="8"/>
        <color theme="1"/>
        <rFont val="Arial"/>
        <family val="2"/>
      </rPr>
      <t>)</t>
    </r>
  </si>
  <si>
    <r>
      <t>F</t>
    </r>
    <r>
      <rPr>
        <vertAlign val="subscript"/>
        <sz val="8"/>
        <color theme="1"/>
        <rFont val="Arial"/>
        <family val="2"/>
      </rPr>
      <t>CR</t>
    </r>
    <r>
      <rPr>
        <sz val="8"/>
        <color theme="1"/>
        <rFont val="Arial"/>
        <family val="2"/>
      </rPr>
      <t xml:space="preserve"> = annual amount of N in crop residues (above-ground and below-ground), including N-fixing crops, and from forage/pasture renewal, returned to soils (kg N y</t>
    </r>
    <r>
      <rPr>
        <vertAlign val="superscript"/>
        <sz val="8"/>
        <color theme="1"/>
        <rFont val="Arial"/>
        <family val="2"/>
      </rPr>
      <t>-1</t>
    </r>
    <r>
      <rPr>
        <sz val="8"/>
        <color theme="1"/>
        <rFont val="Arial"/>
        <family val="2"/>
      </rPr>
      <t>)</t>
    </r>
  </si>
  <si>
    <r>
      <t>F</t>
    </r>
    <r>
      <rPr>
        <vertAlign val="subscript"/>
        <sz val="8"/>
        <color theme="1"/>
        <rFont val="Arial"/>
        <family val="2"/>
      </rPr>
      <t>SOM</t>
    </r>
    <r>
      <rPr>
        <sz val="8"/>
        <color theme="1"/>
        <rFont val="Arial"/>
        <family val="2"/>
      </rPr>
      <t xml:space="preserve"> = annual amount of N in mineral soils that is mineralised, in association with loss of soil C from soil organic matter as a result of changes to land use or management (kg N y</t>
    </r>
    <r>
      <rPr>
        <vertAlign val="superscript"/>
        <sz val="8"/>
        <color theme="1"/>
        <rFont val="Arial"/>
        <family val="2"/>
      </rPr>
      <t>-1</t>
    </r>
    <r>
      <rPr>
        <sz val="8"/>
        <color theme="1"/>
        <rFont val="Arial"/>
        <family val="2"/>
      </rPr>
      <t>)</t>
    </r>
  </si>
  <si>
    <r>
      <t>EF</t>
    </r>
    <r>
      <rPr>
        <vertAlign val="subscript"/>
        <sz val="8"/>
        <color theme="1"/>
        <rFont val="Arial"/>
        <family val="2"/>
      </rPr>
      <t>1</t>
    </r>
    <r>
      <rPr>
        <sz val="8"/>
        <color theme="1"/>
        <rFont val="Arial"/>
        <family val="2"/>
      </rPr>
      <t xml:space="preserve"> = emission factor for N</t>
    </r>
    <r>
      <rPr>
        <vertAlign val="subscript"/>
        <sz val="8"/>
        <color theme="1"/>
        <rFont val="Arial"/>
        <family val="2"/>
      </rPr>
      <t>2</t>
    </r>
    <r>
      <rPr>
        <sz val="8"/>
        <color theme="1"/>
        <rFont val="Arial"/>
        <family val="2"/>
      </rPr>
      <t>O emissions from N inputs (kg N</t>
    </r>
    <r>
      <rPr>
        <vertAlign val="subscript"/>
        <sz val="8"/>
        <color theme="1"/>
        <rFont val="Arial"/>
        <family val="2"/>
      </rPr>
      <t>2</t>
    </r>
    <r>
      <rPr>
        <sz val="8"/>
        <color theme="1"/>
        <rFont val="Arial"/>
        <family val="2"/>
      </rPr>
      <t>O N per kg N input) = 0.01</t>
    </r>
  </si>
  <si>
    <r>
      <t>N</t>
    </r>
    <r>
      <rPr>
        <vertAlign val="subscript"/>
        <sz val="8"/>
        <color theme="1"/>
        <rFont val="Arial"/>
        <family val="2"/>
      </rPr>
      <t>AG(T)</t>
    </r>
    <r>
      <rPr>
        <sz val="8"/>
        <color theme="1"/>
        <rFont val="Arial"/>
        <family val="2"/>
      </rPr>
      <t xml:space="preserve"> = N content of above-ground residues for crop T (kg N per kg DM), grains, maize = 0.006; oats = 0.007; root crops = 0.016; perennial grasses = 0.015</t>
    </r>
  </si>
  <si>
    <r>
      <t>Frac</t>
    </r>
    <r>
      <rPr>
        <vertAlign val="subscript"/>
        <sz val="8"/>
        <color theme="1"/>
        <rFont val="Arial"/>
        <family val="2"/>
      </rPr>
      <t>remove(T)</t>
    </r>
    <r>
      <rPr>
        <sz val="8"/>
        <color theme="1"/>
        <rFont val="Arial"/>
        <family val="2"/>
      </rPr>
      <t xml:space="preserve"> = fraction of above-ground residues crop T removed annually. If data not available assume no removal</t>
    </r>
  </si>
  <si>
    <r>
      <t>BGR</t>
    </r>
    <r>
      <rPr>
        <vertAlign val="subscript"/>
        <sz val="8"/>
        <color theme="1"/>
        <rFont val="Arial"/>
        <family val="2"/>
      </rPr>
      <t>(T)</t>
    </r>
    <r>
      <rPr>
        <sz val="8"/>
        <color theme="1"/>
        <rFont val="Arial"/>
        <family val="2"/>
      </rPr>
      <t xml:space="preserve"> = annual below ground residue of crop T (kg DM y</t>
    </r>
    <r>
      <rPr>
        <vertAlign val="superscript"/>
        <sz val="8"/>
        <color theme="1"/>
        <rFont val="Arial"/>
        <family val="2"/>
      </rPr>
      <t>-1</t>
    </r>
    <r>
      <rPr>
        <sz val="8"/>
        <color theme="1"/>
        <rFont val="Arial"/>
        <family val="2"/>
      </rPr>
      <t>)</t>
    </r>
  </si>
  <si>
    <r>
      <t>N</t>
    </r>
    <r>
      <rPr>
        <vertAlign val="subscript"/>
        <sz val="8"/>
        <color theme="1"/>
        <rFont val="Arial"/>
        <family val="2"/>
      </rPr>
      <t>BG(T)</t>
    </r>
    <r>
      <rPr>
        <sz val="8"/>
        <color theme="1"/>
        <rFont val="Arial"/>
        <family val="2"/>
      </rPr>
      <t xml:space="preserve"> = N content of below-ground residues for crop T (kg N per kg DM)</t>
    </r>
  </si>
  <si>
    <r>
      <t>AG</t>
    </r>
    <r>
      <rPr>
        <vertAlign val="subscript"/>
        <sz val="8"/>
        <color theme="1"/>
        <rFont val="Arial"/>
        <family val="2"/>
      </rPr>
      <t>DM(T)</t>
    </r>
    <r>
      <rPr>
        <sz val="8"/>
        <color theme="1"/>
        <rFont val="Arial"/>
        <family val="2"/>
      </rPr>
      <t xml:space="preserve"> = above-ground residue dry matter crop T (kg DM ha-1)</t>
    </r>
  </si>
  <si>
    <r>
      <t>Crop</t>
    </r>
    <r>
      <rPr>
        <vertAlign val="subscript"/>
        <sz val="8"/>
        <color theme="1"/>
        <rFont val="Arial"/>
        <family val="2"/>
      </rPr>
      <t>(T)</t>
    </r>
    <r>
      <rPr>
        <sz val="8"/>
        <color theme="1"/>
        <rFont val="Arial"/>
        <family val="2"/>
      </rPr>
      <t xml:space="preserve"> = harvested annual dry matter crop T (kg DM ha-1)</t>
    </r>
  </si>
  <si>
    <t>Yield Fresh(T) = harvested fresh yield crop T (kg FM ha-1)</t>
  </si>
  <si>
    <t>DRY = dry matter fraction of harvested crop T (-)</t>
  </si>
  <si>
    <r>
      <t>R</t>
    </r>
    <r>
      <rPr>
        <vertAlign val="subscript"/>
        <sz val="8"/>
        <color theme="1"/>
        <rFont val="Arial"/>
        <family val="2"/>
      </rPr>
      <t>AG(T)</t>
    </r>
    <r>
      <rPr>
        <sz val="8"/>
        <color theme="1"/>
        <rFont val="Arial"/>
        <family val="2"/>
      </rPr>
      <t xml:space="preserve"> = ratio of above-ground residues dry matter (AG</t>
    </r>
    <r>
      <rPr>
        <vertAlign val="subscript"/>
        <sz val="8"/>
        <color theme="1"/>
        <rFont val="Arial"/>
        <family val="2"/>
      </rPr>
      <t>DM(T)</t>
    </r>
    <r>
      <rPr>
        <sz val="8"/>
        <color theme="1"/>
        <rFont val="Arial"/>
        <family val="2"/>
      </rPr>
      <t>) to harvested yield</t>
    </r>
  </si>
  <si>
    <r>
      <t>Area</t>
    </r>
    <r>
      <rPr>
        <vertAlign val="subscript"/>
        <sz val="8"/>
        <color theme="1"/>
        <rFont val="Arial"/>
        <family val="2"/>
      </rPr>
      <t>(T)</t>
    </r>
    <r>
      <rPr>
        <sz val="8"/>
        <color theme="1"/>
        <rFont val="Arial"/>
        <family val="2"/>
      </rPr>
      <t xml:space="preserve"> = total annual area harvested of crop T (ha y</t>
    </r>
    <r>
      <rPr>
        <vertAlign val="superscript"/>
        <sz val="8"/>
        <color theme="1"/>
        <rFont val="Arial"/>
        <family val="2"/>
      </rPr>
      <t>-1</t>
    </r>
    <r>
      <rPr>
        <sz val="8"/>
        <color theme="1"/>
        <rFont val="Arial"/>
        <family val="2"/>
      </rPr>
      <t>)</t>
    </r>
  </si>
  <si>
    <r>
      <t>Frac</t>
    </r>
    <r>
      <rPr>
        <vertAlign val="subscript"/>
        <sz val="8"/>
        <color theme="1"/>
        <rFont val="Arial"/>
        <family val="2"/>
      </rPr>
      <t>renew(T)</t>
    </r>
    <r>
      <rPr>
        <sz val="8"/>
        <color theme="1"/>
        <rFont val="Arial"/>
        <family val="2"/>
      </rPr>
      <t xml:space="preserve"> = fraction of total area crop T renewed annually, annual crops = 1</t>
    </r>
  </si>
  <si>
    <r>
      <t>RS</t>
    </r>
    <r>
      <rPr>
        <vertAlign val="subscript"/>
        <sz val="8"/>
        <color theme="1"/>
        <rFont val="Arial"/>
        <family val="2"/>
      </rPr>
      <t>(T)</t>
    </r>
    <r>
      <rPr>
        <sz val="8"/>
        <color theme="1"/>
        <rFont val="Arial"/>
        <family val="2"/>
      </rPr>
      <t xml:space="preserve"> = ratio of below-ground root biomass to above-ground shoot biomass crop T (kg DM ha-1)</t>
    </r>
  </si>
  <si>
    <t>T = crop or forage type</t>
  </si>
  <si>
    <r>
      <t>∆C</t>
    </r>
    <r>
      <rPr>
        <vertAlign val="subscript"/>
        <sz val="8"/>
        <color theme="1"/>
        <rFont val="Arial"/>
        <family val="2"/>
      </rPr>
      <t>mineral,LU</t>
    </r>
    <r>
      <rPr>
        <sz val="8"/>
        <color theme="1"/>
        <rFont val="Arial"/>
        <family val="2"/>
      </rPr>
      <t xml:space="preserve"> = average annual loss of soil carbon for each land-use type (t C)</t>
    </r>
  </si>
  <si>
    <t>R = C:N ratio of the soil organic matter. Default value = 10 (range from 8 to 15) for changes on Cropland Remaining Cropland</t>
  </si>
  <si>
    <r>
      <rPr>
        <b/>
        <sz val="9"/>
        <rFont val="Arial"/>
        <family val="2"/>
      </rPr>
      <t>Indirect N</t>
    </r>
    <r>
      <rPr>
        <b/>
        <sz val="6"/>
        <rFont val="Arial"/>
        <family val="2"/>
      </rPr>
      <t>2</t>
    </r>
    <r>
      <rPr>
        <b/>
        <sz val="9"/>
        <rFont val="Arial"/>
        <family val="2"/>
      </rPr>
      <t>O Emissions from Managed Soils: N</t>
    </r>
    <r>
      <rPr>
        <b/>
        <sz val="6"/>
        <rFont val="Arial"/>
        <family val="2"/>
      </rPr>
      <t>2</t>
    </r>
    <r>
      <rPr>
        <b/>
        <sz val="9"/>
        <rFont val="Arial"/>
        <family val="2"/>
      </rPr>
      <t>O from Atmospheric Deposition of N Volatilised from Managed Soils</t>
    </r>
  </si>
  <si>
    <r>
      <rPr>
        <b/>
        <sz val="9"/>
        <rFont val="Arial"/>
        <family val="2"/>
      </rPr>
      <t>3C5</t>
    </r>
  </si>
  <si>
    <r>
      <rPr>
        <b/>
        <sz val="9"/>
        <rFont val="Arial"/>
        <family val="2"/>
      </rPr>
      <t>Equation 11.9</t>
    </r>
  </si>
  <si>
    <r>
      <rPr>
        <sz val="9"/>
        <rFont val="Arial"/>
        <family val="2"/>
      </rPr>
      <t xml:space="preserve">Anthropogenic N
</t>
    </r>
    <r>
      <rPr>
        <sz val="9"/>
        <rFont val="Arial"/>
        <family val="2"/>
      </rPr>
      <t>input type</t>
    </r>
  </si>
  <si>
    <r>
      <rPr>
        <sz val="9"/>
        <rFont val="Arial"/>
        <family val="2"/>
      </rPr>
      <t xml:space="preserve">Annual </t>
    </r>
    <r>
      <rPr>
        <sz val="9"/>
        <rFont val="Arial"/>
        <family val="2"/>
      </rPr>
      <t xml:space="preserve">amount of </t>
    </r>
    <r>
      <rPr>
        <sz val="9"/>
        <rFont val="Arial"/>
        <family val="2"/>
      </rPr>
      <t xml:space="preserve">synthetic </t>
    </r>
    <r>
      <rPr>
        <sz val="9"/>
        <rFont val="Arial"/>
        <family val="2"/>
      </rPr>
      <t xml:space="preserve">fertilizer </t>
    </r>
    <r>
      <rPr>
        <sz val="9"/>
        <rFont val="Arial"/>
        <family val="2"/>
      </rPr>
      <t xml:space="preserve">N applied </t>
    </r>
    <r>
      <rPr>
        <sz val="9"/>
        <rFont val="Arial"/>
        <family val="2"/>
      </rPr>
      <t>to soils</t>
    </r>
  </si>
  <si>
    <r>
      <rPr>
        <sz val="9"/>
        <rFont val="Arial"/>
        <family val="2"/>
      </rPr>
      <t xml:space="preserve">Fraction of
</t>
    </r>
    <r>
      <rPr>
        <sz val="9"/>
        <rFont val="Arial"/>
        <family val="2"/>
      </rPr>
      <t xml:space="preserve">synthetic
</t>
    </r>
    <r>
      <rPr>
        <sz val="9"/>
        <rFont val="Arial"/>
        <family val="2"/>
      </rPr>
      <t xml:space="preserve">fertilizer N that
</t>
    </r>
    <r>
      <rPr>
        <sz val="9"/>
        <rFont val="Arial"/>
        <family val="2"/>
      </rPr>
      <t>volatilises</t>
    </r>
  </si>
  <si>
    <r>
      <rPr>
        <sz val="9"/>
        <rFont val="Arial"/>
        <family val="2"/>
      </rPr>
      <t>Emission factor
for N</t>
    </r>
    <r>
      <rPr>
        <sz val="6"/>
        <rFont val="Arial"/>
        <family val="2"/>
      </rPr>
      <t>2</t>
    </r>
    <r>
      <rPr>
        <sz val="9"/>
        <rFont val="Arial"/>
        <family val="2"/>
      </rPr>
      <t>O emission
from atmospheric
deposition of N
on soils and
water surfaces</t>
    </r>
  </si>
  <si>
    <r>
      <rPr>
        <sz val="9"/>
        <rFont val="Arial"/>
        <family val="2"/>
      </rPr>
      <t>Annual amount of N</t>
    </r>
    <r>
      <rPr>
        <sz val="6"/>
        <rFont val="Arial"/>
        <family val="2"/>
      </rPr>
      <t>2</t>
    </r>
    <r>
      <rPr>
        <sz val="9"/>
        <rFont val="Arial"/>
        <family val="2"/>
      </rPr>
      <t xml:space="preserve">O-N
</t>
    </r>
    <r>
      <rPr>
        <sz val="9"/>
        <rFont val="Arial"/>
        <family val="2"/>
      </rPr>
      <t xml:space="preserve">produced from
</t>
    </r>
    <r>
      <rPr>
        <sz val="9"/>
        <rFont val="Arial"/>
        <family val="2"/>
      </rPr>
      <t xml:space="preserve">atmospheric deposition of
</t>
    </r>
    <r>
      <rPr>
        <sz val="9"/>
        <rFont val="Arial"/>
        <family val="2"/>
      </rPr>
      <t xml:space="preserve">N volatilised from
</t>
    </r>
    <r>
      <rPr>
        <sz val="9"/>
        <rFont val="Arial"/>
        <family val="2"/>
      </rPr>
      <t>managed soils</t>
    </r>
  </si>
  <si>
    <r>
      <rPr>
        <sz val="9"/>
        <rFont val="Arial"/>
        <family val="2"/>
      </rPr>
      <t xml:space="preserve">(kg N
</t>
    </r>
    <r>
      <rPr>
        <sz val="9"/>
        <rFont val="Arial"/>
        <family val="2"/>
      </rPr>
      <t>yr</t>
    </r>
    <r>
      <rPr>
        <sz val="6"/>
        <rFont val="Arial"/>
        <family val="2"/>
      </rPr>
      <t>-1</t>
    </r>
    <r>
      <rPr>
        <sz val="9"/>
        <rFont val="Arial"/>
        <family val="2"/>
      </rPr>
      <t>)</t>
    </r>
  </si>
  <si>
    <r>
      <rPr>
        <sz val="9"/>
        <rFont val="Arial"/>
        <family val="2"/>
      </rPr>
      <t>(kg NH</t>
    </r>
    <r>
      <rPr>
        <sz val="6"/>
        <rFont val="Arial"/>
        <family val="2"/>
      </rPr>
      <t>3</t>
    </r>
    <r>
      <rPr>
        <sz val="9"/>
        <rFont val="Arial"/>
        <family val="2"/>
      </rPr>
      <t xml:space="preserve">-N +
</t>
    </r>
    <r>
      <rPr>
        <sz val="9"/>
        <rFont val="Arial"/>
        <family val="2"/>
      </rPr>
      <t>NO</t>
    </r>
    <r>
      <rPr>
        <vertAlign val="subscript"/>
        <sz val="9"/>
        <rFont val="Arial"/>
        <family val="2"/>
      </rPr>
      <t>x</t>
    </r>
    <r>
      <rPr>
        <sz val="9"/>
        <rFont val="Arial"/>
        <family val="2"/>
      </rPr>
      <t xml:space="preserve">-N) (kg of N
</t>
    </r>
    <r>
      <rPr>
        <sz val="9"/>
        <rFont val="Arial"/>
        <family val="2"/>
      </rPr>
      <t>applied)</t>
    </r>
    <r>
      <rPr>
        <vertAlign val="superscript"/>
        <sz val="9"/>
        <rFont val="Arial"/>
        <family val="2"/>
      </rPr>
      <t>-1</t>
    </r>
  </si>
  <si>
    <r>
      <rPr>
        <sz val="9"/>
        <rFont val="Arial"/>
        <family val="2"/>
      </rPr>
      <t>(kg N</t>
    </r>
    <r>
      <rPr>
        <sz val="6"/>
        <rFont val="Arial"/>
        <family val="2"/>
      </rPr>
      <t>2</t>
    </r>
    <r>
      <rPr>
        <sz val="9"/>
        <rFont val="Arial"/>
        <family val="2"/>
      </rPr>
      <t xml:space="preserve">O-N) (kg
</t>
    </r>
    <r>
      <rPr>
        <sz val="9"/>
        <rFont val="Arial"/>
        <family val="2"/>
      </rPr>
      <t>NH</t>
    </r>
    <r>
      <rPr>
        <sz val="6"/>
        <rFont val="Arial"/>
        <family val="2"/>
      </rPr>
      <t>3</t>
    </r>
    <r>
      <rPr>
        <sz val="9"/>
        <rFont val="Arial"/>
        <family val="2"/>
      </rPr>
      <t>-N + NO</t>
    </r>
    <r>
      <rPr>
        <vertAlign val="subscript"/>
        <sz val="9"/>
        <rFont val="Arial"/>
        <family val="2"/>
      </rPr>
      <t>x</t>
    </r>
    <r>
      <rPr>
        <sz val="9"/>
        <rFont val="Arial"/>
        <family val="2"/>
      </rPr>
      <t xml:space="preserve">-N
</t>
    </r>
    <r>
      <rPr>
        <sz val="9"/>
        <rFont val="Arial"/>
        <family val="2"/>
      </rPr>
      <t>volatilized)</t>
    </r>
    <r>
      <rPr>
        <vertAlign val="superscript"/>
        <sz val="9"/>
        <rFont val="Arial"/>
        <family val="2"/>
      </rPr>
      <t>-1</t>
    </r>
  </si>
  <si>
    <r>
      <rPr>
        <sz val="9"/>
        <rFont val="Arial"/>
        <family val="2"/>
      </rPr>
      <t>Table 11.3</t>
    </r>
  </si>
  <si>
    <r>
      <rPr>
        <sz val="9"/>
        <rFont val="Arial"/>
        <family val="2"/>
      </rPr>
      <t>N</t>
    </r>
    <r>
      <rPr>
        <sz val="6"/>
        <rFont val="Arial"/>
        <family val="2"/>
      </rPr>
      <t>2</t>
    </r>
    <r>
      <rPr>
        <sz val="9"/>
        <rFont val="Arial"/>
        <family val="2"/>
      </rPr>
      <t>O</t>
    </r>
    <r>
      <rPr>
        <sz val="6"/>
        <rFont val="Arial"/>
        <family val="2"/>
      </rPr>
      <t>(ATD)</t>
    </r>
    <r>
      <rPr>
        <sz val="9"/>
        <rFont val="Arial"/>
        <family val="2"/>
      </rPr>
      <t>-N = [(F</t>
    </r>
    <r>
      <rPr>
        <sz val="6"/>
        <rFont val="Arial"/>
        <family val="2"/>
      </rPr>
      <t xml:space="preserve">SN </t>
    </r>
    <r>
      <rPr>
        <sz val="9"/>
        <rFont val="Arial"/>
        <family val="2"/>
      </rPr>
      <t xml:space="preserve">*
</t>
    </r>
    <r>
      <rPr>
        <sz val="9"/>
        <rFont val="Arial"/>
        <family val="2"/>
      </rPr>
      <t>Frac</t>
    </r>
    <r>
      <rPr>
        <sz val="6"/>
        <rFont val="Arial"/>
        <family val="2"/>
      </rPr>
      <t xml:space="preserve">GASF </t>
    </r>
    <r>
      <rPr>
        <sz val="9"/>
        <rFont val="Arial"/>
        <family val="2"/>
      </rPr>
      <t>)</t>
    </r>
    <r>
      <rPr>
        <sz val="9"/>
        <rFont val="Arial"/>
        <family val="2"/>
      </rPr>
      <t>] * EF</t>
    </r>
    <r>
      <rPr>
        <sz val="6"/>
        <rFont val="Arial"/>
        <family val="2"/>
      </rPr>
      <t>4</t>
    </r>
  </si>
  <si>
    <r>
      <rPr>
        <b/>
        <sz val="9"/>
        <rFont val="Arial"/>
        <family val="2"/>
      </rPr>
      <t>F</t>
    </r>
    <r>
      <rPr>
        <b/>
        <sz val="6"/>
        <rFont val="Arial"/>
        <family val="2"/>
      </rPr>
      <t>SN</t>
    </r>
  </si>
  <si>
    <r>
      <rPr>
        <b/>
        <sz val="9"/>
        <rFont val="Arial"/>
        <family val="2"/>
      </rPr>
      <t>Frac</t>
    </r>
    <r>
      <rPr>
        <b/>
        <sz val="6"/>
        <rFont val="Arial"/>
        <family val="2"/>
      </rPr>
      <t>GASF</t>
    </r>
  </si>
  <si>
    <r>
      <rPr>
        <b/>
        <sz val="9"/>
        <rFont val="Arial"/>
        <family val="2"/>
      </rPr>
      <t>EF</t>
    </r>
    <r>
      <rPr>
        <b/>
        <sz val="6"/>
        <rFont val="Arial"/>
        <family val="2"/>
      </rPr>
      <t>4</t>
    </r>
  </si>
  <si>
    <r>
      <rPr>
        <b/>
        <sz val="9"/>
        <rFont val="Arial"/>
        <family val="2"/>
      </rPr>
      <t>N</t>
    </r>
    <r>
      <rPr>
        <b/>
        <sz val="6"/>
        <rFont val="Arial"/>
        <family val="2"/>
      </rPr>
      <t>2</t>
    </r>
    <r>
      <rPr>
        <b/>
        <sz val="9"/>
        <rFont val="Arial"/>
        <family val="2"/>
      </rPr>
      <t>O</t>
    </r>
    <r>
      <rPr>
        <b/>
        <sz val="6"/>
        <rFont val="Arial"/>
        <family val="2"/>
      </rPr>
      <t>(ATD)</t>
    </r>
    <r>
      <rPr>
        <b/>
        <sz val="9"/>
        <rFont val="Arial"/>
        <family val="2"/>
      </rPr>
      <t>-N</t>
    </r>
  </si>
  <si>
    <r>
      <t>N</t>
    </r>
    <r>
      <rPr>
        <vertAlign val="subscript"/>
        <sz val="8"/>
        <color rgb="FF000000"/>
        <rFont val="Arial"/>
        <family val="2"/>
      </rPr>
      <t>2</t>
    </r>
    <r>
      <rPr>
        <sz val="8"/>
        <color rgb="FF000000"/>
        <rFont val="Arial"/>
        <family val="2"/>
      </rPr>
      <t>O</t>
    </r>
    <r>
      <rPr>
        <vertAlign val="subscript"/>
        <sz val="8"/>
        <color rgb="FF000000"/>
        <rFont val="Arial"/>
        <family val="2"/>
      </rPr>
      <t xml:space="preserve">(ATD) </t>
    </r>
    <r>
      <rPr>
        <sz val="8"/>
        <color rgb="FF000000"/>
        <rFont val="Arial"/>
        <family val="2"/>
      </rPr>
      <t>N = annual amount of N</t>
    </r>
    <r>
      <rPr>
        <vertAlign val="subscript"/>
        <sz val="8"/>
        <color rgb="FF000000"/>
        <rFont val="Arial"/>
        <family val="2"/>
      </rPr>
      <t>2</t>
    </r>
    <r>
      <rPr>
        <sz val="8"/>
        <color rgb="FF000000"/>
        <rFont val="Arial"/>
        <family val="2"/>
      </rPr>
      <t>O N produced from atmospheric deposition of N volatilised from managed soils (kg N</t>
    </r>
    <r>
      <rPr>
        <vertAlign val="subscript"/>
        <sz val="8"/>
        <color rgb="FF000000"/>
        <rFont val="Arial"/>
        <family val="2"/>
      </rPr>
      <t>2</t>
    </r>
    <r>
      <rPr>
        <sz val="8"/>
        <color rgb="FF000000"/>
        <rFont val="Arial"/>
        <family val="2"/>
      </rPr>
      <t>O N y</t>
    </r>
    <r>
      <rPr>
        <vertAlign val="superscript"/>
        <sz val="8"/>
        <color rgb="FF000000"/>
        <rFont val="Arial"/>
        <family val="2"/>
      </rPr>
      <t>-1</t>
    </r>
    <r>
      <rPr>
        <sz val="8"/>
        <color rgb="FF000000"/>
        <rFont val="Arial"/>
        <family val="2"/>
      </rPr>
      <t>)</t>
    </r>
  </si>
  <si>
    <r>
      <t>Frac</t>
    </r>
    <r>
      <rPr>
        <vertAlign val="subscript"/>
        <sz val="8"/>
        <color theme="1"/>
        <rFont val="Arial"/>
        <family val="2"/>
      </rPr>
      <t>GASF</t>
    </r>
    <r>
      <rPr>
        <sz val="8"/>
        <color theme="1"/>
        <rFont val="Arial"/>
        <family val="2"/>
      </rPr>
      <t xml:space="preserve"> = fraction of synthetic fertiliser N that volatilises as NH</t>
    </r>
    <r>
      <rPr>
        <vertAlign val="subscript"/>
        <sz val="8"/>
        <color theme="1"/>
        <rFont val="Arial"/>
        <family val="2"/>
      </rPr>
      <t>3</t>
    </r>
    <r>
      <rPr>
        <sz val="8"/>
        <color theme="1"/>
        <rFont val="Arial"/>
        <family val="2"/>
      </rPr>
      <t xml:space="preserve"> and NO</t>
    </r>
    <r>
      <rPr>
        <vertAlign val="subscript"/>
        <sz val="8"/>
        <color theme="1"/>
        <rFont val="Arial"/>
        <family val="2"/>
      </rPr>
      <t>x</t>
    </r>
    <r>
      <rPr>
        <sz val="8"/>
        <color theme="1"/>
        <rFont val="Arial"/>
        <family val="2"/>
      </rPr>
      <t xml:space="preserve"> (kg N volatilised per kg of N applied), default value = 0.10</t>
    </r>
  </si>
  <si>
    <r>
      <t>EF</t>
    </r>
    <r>
      <rPr>
        <vertAlign val="subscript"/>
        <sz val="8"/>
        <color theme="1"/>
        <rFont val="Arial"/>
        <family val="2"/>
      </rPr>
      <t>4</t>
    </r>
    <r>
      <rPr>
        <sz val="8"/>
        <color theme="1"/>
        <rFont val="Arial"/>
        <family val="2"/>
      </rPr>
      <t xml:space="preserve"> = emission factor for N</t>
    </r>
    <r>
      <rPr>
        <vertAlign val="subscript"/>
        <sz val="8"/>
        <color theme="1"/>
        <rFont val="Arial"/>
        <family val="2"/>
      </rPr>
      <t>2</t>
    </r>
    <r>
      <rPr>
        <sz val="8"/>
        <color theme="1"/>
        <rFont val="Arial"/>
        <family val="2"/>
      </rPr>
      <t>O emissions from atmospheric deposition of N on soils and water surfaces (kg N</t>
    </r>
    <r>
      <rPr>
        <vertAlign val="subscript"/>
        <sz val="8"/>
        <color theme="1"/>
        <rFont val="Arial"/>
        <family val="2"/>
      </rPr>
      <t>2</t>
    </r>
    <r>
      <rPr>
        <sz val="8"/>
        <color theme="1"/>
        <rFont val="Arial"/>
        <family val="2"/>
      </rPr>
      <t>O N per kg NH</t>
    </r>
    <r>
      <rPr>
        <vertAlign val="subscript"/>
        <sz val="8"/>
        <color theme="1"/>
        <rFont val="Arial"/>
        <family val="2"/>
      </rPr>
      <t>3</t>
    </r>
    <r>
      <rPr>
        <sz val="8"/>
        <color theme="1"/>
        <rFont val="Arial"/>
        <family val="2"/>
      </rPr>
      <t xml:space="preserve"> N + NO</t>
    </r>
    <r>
      <rPr>
        <vertAlign val="subscript"/>
        <sz val="8"/>
        <color theme="1"/>
        <rFont val="Arial"/>
        <family val="2"/>
      </rPr>
      <t>x</t>
    </r>
    <r>
      <rPr>
        <sz val="8"/>
        <color theme="1"/>
        <rFont val="Arial"/>
        <family val="2"/>
      </rPr>
      <t xml:space="preserve"> N volatilised, default value = 0.010</t>
    </r>
  </si>
  <si>
    <r>
      <rPr>
        <b/>
        <sz val="9"/>
        <rFont val="Arial"/>
        <family val="2"/>
      </rPr>
      <t>Indirect N</t>
    </r>
    <r>
      <rPr>
        <b/>
        <sz val="6"/>
        <rFont val="Arial"/>
        <family val="2"/>
      </rPr>
      <t>2</t>
    </r>
    <r>
      <rPr>
        <b/>
        <sz val="9"/>
        <rFont val="Arial"/>
        <family val="2"/>
      </rPr>
      <t>O Emissions from Managed Soils: N</t>
    </r>
    <r>
      <rPr>
        <b/>
        <sz val="6"/>
        <rFont val="Arial"/>
        <family val="2"/>
      </rPr>
      <t>2</t>
    </r>
    <r>
      <rPr>
        <b/>
        <sz val="9"/>
        <rFont val="Arial"/>
        <family val="2"/>
      </rPr>
      <t>O from N leaching/runoff from Managed Soils</t>
    </r>
  </si>
  <si>
    <r>
      <rPr>
        <b/>
        <sz val="9"/>
        <rFont val="Arial"/>
        <family val="2"/>
      </rPr>
      <t>2 of 2</t>
    </r>
  </si>
  <si>
    <r>
      <rPr>
        <b/>
        <sz val="9"/>
        <rFont val="Arial"/>
        <family val="2"/>
      </rPr>
      <t>Equation 11.10</t>
    </r>
  </si>
  <si>
    <r>
      <rPr>
        <sz val="9"/>
        <rFont val="Arial"/>
        <family val="2"/>
      </rPr>
      <t xml:space="preserve">Annual </t>
    </r>
    <r>
      <rPr>
        <sz val="9"/>
        <rFont val="Arial"/>
        <family val="2"/>
      </rPr>
      <t xml:space="preserve">amount of </t>
    </r>
    <r>
      <rPr>
        <sz val="9"/>
        <rFont val="Arial"/>
        <family val="2"/>
      </rPr>
      <t xml:space="preserve">synthetic </t>
    </r>
    <r>
      <rPr>
        <sz val="9"/>
        <rFont val="Arial"/>
        <family val="2"/>
      </rPr>
      <t xml:space="preserve">fertilizer N </t>
    </r>
    <r>
      <rPr>
        <sz val="9"/>
        <rFont val="Arial"/>
        <family val="2"/>
      </rPr>
      <t xml:space="preserve">applied to
</t>
    </r>
    <r>
      <rPr>
        <sz val="9"/>
        <rFont val="Arial"/>
        <family val="2"/>
      </rPr>
      <t>soils</t>
    </r>
  </si>
  <si>
    <r>
      <rPr>
        <sz val="9"/>
        <rFont val="Arial"/>
        <family val="2"/>
      </rPr>
      <t xml:space="preserve">Amount of N in crop
</t>
    </r>
    <r>
      <rPr>
        <sz val="9"/>
        <rFont val="Arial"/>
        <family val="2"/>
      </rPr>
      <t xml:space="preserve">residues (above
</t>
    </r>
    <r>
      <rPr>
        <sz val="9"/>
        <rFont val="Arial"/>
        <family val="2"/>
      </rPr>
      <t xml:space="preserve">and below-ground),
</t>
    </r>
    <r>
      <rPr>
        <sz val="9"/>
        <rFont val="Arial"/>
        <family val="2"/>
      </rPr>
      <t xml:space="preserve">including N-fixing
</t>
    </r>
    <r>
      <rPr>
        <sz val="9"/>
        <rFont val="Arial"/>
        <family val="2"/>
      </rPr>
      <t xml:space="preserve">crops, and from
</t>
    </r>
    <r>
      <rPr>
        <sz val="9"/>
        <rFont val="Arial"/>
        <family val="2"/>
      </rPr>
      <t xml:space="preserve">forage/pasture
</t>
    </r>
    <r>
      <rPr>
        <sz val="9"/>
        <rFont val="Arial"/>
        <family val="2"/>
      </rPr>
      <t xml:space="preserve">renewal, returned
</t>
    </r>
    <r>
      <rPr>
        <sz val="9"/>
        <rFont val="Arial"/>
        <family val="2"/>
      </rPr>
      <t>to soils annually</t>
    </r>
  </si>
  <si>
    <r>
      <rPr>
        <sz val="9"/>
        <rFont val="Arial"/>
        <family val="2"/>
      </rPr>
      <t xml:space="preserve">Annual amount of N
</t>
    </r>
    <r>
      <rPr>
        <sz val="9"/>
        <rFont val="Arial"/>
        <family val="2"/>
      </rPr>
      <t xml:space="preserve">mineralized/immobilized
</t>
    </r>
    <r>
      <rPr>
        <sz val="9"/>
        <rFont val="Arial"/>
        <family val="2"/>
      </rPr>
      <t xml:space="preserve">in mineral soils
</t>
    </r>
    <r>
      <rPr>
        <sz val="9"/>
        <rFont val="Arial"/>
        <family val="2"/>
      </rPr>
      <t xml:space="preserve">associated with
</t>
    </r>
    <r>
      <rPr>
        <sz val="9"/>
        <rFont val="Arial"/>
        <family val="2"/>
      </rPr>
      <t xml:space="preserve">loss/gain of soil C from
</t>
    </r>
    <r>
      <rPr>
        <sz val="9"/>
        <rFont val="Arial"/>
        <family val="2"/>
      </rPr>
      <t xml:space="preserve">soil organic matter as a
</t>
    </r>
    <r>
      <rPr>
        <sz val="9"/>
        <rFont val="Arial"/>
        <family val="2"/>
      </rPr>
      <t xml:space="preserve">result of changes to
</t>
    </r>
    <r>
      <rPr>
        <sz val="9"/>
        <rFont val="Arial"/>
        <family val="2"/>
      </rPr>
      <t xml:space="preserve">land use or
</t>
    </r>
    <r>
      <rPr>
        <sz val="9"/>
        <rFont val="Arial"/>
        <family val="2"/>
      </rPr>
      <t>management</t>
    </r>
  </si>
  <si>
    <r>
      <rPr>
        <sz val="9"/>
        <rFont val="Arial"/>
        <family val="2"/>
      </rPr>
      <t xml:space="preserve">Fraction of all
</t>
    </r>
    <r>
      <rPr>
        <sz val="9"/>
        <rFont val="Arial"/>
        <family val="2"/>
      </rPr>
      <t xml:space="preserve">N additions to
</t>
    </r>
    <r>
      <rPr>
        <sz val="9"/>
        <rFont val="Arial"/>
        <family val="2"/>
      </rPr>
      <t xml:space="preserve">managed soils
</t>
    </r>
    <r>
      <rPr>
        <sz val="9"/>
        <rFont val="Arial"/>
        <family val="2"/>
      </rPr>
      <t xml:space="preserve">that is lost
</t>
    </r>
    <r>
      <rPr>
        <sz val="9"/>
        <rFont val="Arial"/>
        <family val="2"/>
      </rPr>
      <t xml:space="preserve">through
</t>
    </r>
    <r>
      <rPr>
        <sz val="9"/>
        <rFont val="Arial"/>
        <family val="2"/>
      </rPr>
      <t xml:space="preserve">leaching and
</t>
    </r>
    <r>
      <rPr>
        <sz val="9"/>
        <rFont val="Arial"/>
        <family val="2"/>
      </rPr>
      <t>runoff</t>
    </r>
  </si>
  <si>
    <r>
      <rPr>
        <sz val="9"/>
        <rFont val="Arial"/>
        <family val="2"/>
      </rPr>
      <t>Emission
factor for
N</t>
    </r>
    <r>
      <rPr>
        <sz val="6"/>
        <rFont val="Arial"/>
        <family val="2"/>
      </rPr>
      <t>2</t>
    </r>
    <r>
      <rPr>
        <sz val="9"/>
        <rFont val="Arial"/>
        <family val="2"/>
      </rPr>
      <t>O
emission
from N
leaching
and runoff</t>
    </r>
  </si>
  <si>
    <r>
      <rPr>
        <sz val="9"/>
        <rFont val="Arial"/>
        <family val="2"/>
      </rPr>
      <t xml:space="preserve">Annual amount
</t>
    </r>
    <r>
      <rPr>
        <sz val="9"/>
        <rFont val="Arial"/>
        <family val="2"/>
      </rPr>
      <t>of N</t>
    </r>
    <r>
      <rPr>
        <sz val="6"/>
        <rFont val="Arial"/>
        <family val="2"/>
      </rPr>
      <t>2</t>
    </r>
    <r>
      <rPr>
        <sz val="9"/>
        <rFont val="Arial"/>
        <family val="2"/>
      </rPr>
      <t xml:space="preserve">O-N
</t>
    </r>
    <r>
      <rPr>
        <sz val="9"/>
        <rFont val="Arial"/>
        <family val="2"/>
      </rPr>
      <t xml:space="preserve">produced from
</t>
    </r>
    <r>
      <rPr>
        <sz val="9"/>
        <rFont val="Arial"/>
        <family val="2"/>
      </rPr>
      <t xml:space="preserve">managed soils in
</t>
    </r>
    <r>
      <rPr>
        <sz val="9"/>
        <rFont val="Arial"/>
        <family val="2"/>
      </rPr>
      <t xml:space="preserve">regions where
</t>
    </r>
    <r>
      <rPr>
        <sz val="9"/>
        <rFont val="Arial"/>
        <family val="2"/>
      </rPr>
      <t xml:space="preserve">leaching and
</t>
    </r>
    <r>
      <rPr>
        <sz val="9"/>
        <rFont val="Arial"/>
        <family val="2"/>
      </rPr>
      <t>runoff occurs</t>
    </r>
  </si>
  <si>
    <r>
      <rPr>
        <sz val="9"/>
        <rFont val="Arial"/>
        <family val="2"/>
      </rPr>
      <t xml:space="preserve">[kg N (kg of N
</t>
    </r>
    <r>
      <rPr>
        <sz val="9"/>
        <rFont val="Arial"/>
        <family val="2"/>
      </rPr>
      <t>additions)</t>
    </r>
    <r>
      <rPr>
        <sz val="6"/>
        <rFont val="Arial"/>
        <family val="2"/>
      </rPr>
      <t>-1</t>
    </r>
    <r>
      <rPr>
        <sz val="9"/>
        <rFont val="Arial"/>
        <family val="2"/>
      </rPr>
      <t>]</t>
    </r>
  </si>
  <si>
    <r>
      <rPr>
        <sz val="9"/>
        <rFont val="Arial"/>
        <family val="2"/>
      </rPr>
      <t>[kg N</t>
    </r>
    <r>
      <rPr>
        <sz val="6"/>
        <rFont val="Arial"/>
        <family val="2"/>
      </rPr>
      <t>2</t>
    </r>
    <r>
      <rPr>
        <sz val="9"/>
        <rFont val="Arial"/>
        <family val="2"/>
      </rPr>
      <t xml:space="preserve">O-N
</t>
    </r>
    <r>
      <rPr>
        <sz val="9"/>
        <rFont val="Arial"/>
        <family val="2"/>
      </rPr>
      <t xml:space="preserve">(kg N
</t>
    </r>
    <r>
      <rPr>
        <sz val="9"/>
        <rFont val="Arial"/>
        <family val="2"/>
      </rPr>
      <t xml:space="preserve">leaching
</t>
    </r>
    <r>
      <rPr>
        <sz val="9"/>
        <rFont val="Arial"/>
        <family val="2"/>
      </rPr>
      <t xml:space="preserve">and
</t>
    </r>
    <r>
      <rPr>
        <sz val="9"/>
        <rFont val="Arial"/>
        <family val="2"/>
      </rPr>
      <t>runoff)</t>
    </r>
    <r>
      <rPr>
        <vertAlign val="superscript"/>
        <sz val="9"/>
        <rFont val="Arial"/>
        <family val="2"/>
      </rPr>
      <t>-1</t>
    </r>
    <r>
      <rPr>
        <sz val="9"/>
        <rFont val="Arial"/>
        <family val="2"/>
      </rPr>
      <t>]</t>
    </r>
  </si>
  <si>
    <r>
      <rPr>
        <sz val="9"/>
        <rFont val="Arial"/>
        <family val="2"/>
      </rPr>
      <t>N</t>
    </r>
    <r>
      <rPr>
        <sz val="6"/>
        <rFont val="Arial"/>
        <family val="2"/>
      </rPr>
      <t>2</t>
    </r>
    <r>
      <rPr>
        <sz val="9"/>
        <rFont val="Arial"/>
        <family val="2"/>
      </rPr>
      <t>O</t>
    </r>
    <r>
      <rPr>
        <sz val="6"/>
        <rFont val="Arial"/>
        <family val="2"/>
      </rPr>
      <t>(L)</t>
    </r>
    <r>
      <rPr>
        <sz val="9"/>
        <rFont val="Arial"/>
        <family val="2"/>
      </rPr>
      <t>-N = (F</t>
    </r>
    <r>
      <rPr>
        <sz val="6"/>
        <rFont val="Arial"/>
        <family val="2"/>
      </rPr>
      <t xml:space="preserve">SN </t>
    </r>
    <r>
      <rPr>
        <sz val="9"/>
        <rFont val="Arial"/>
        <family val="2"/>
      </rPr>
      <t>+ F</t>
    </r>
    <r>
      <rPr>
        <sz val="6"/>
        <rFont val="Arial"/>
        <family val="2"/>
      </rPr>
      <t xml:space="preserve">CR </t>
    </r>
    <r>
      <rPr>
        <sz val="9"/>
        <rFont val="Arial"/>
        <family val="2"/>
      </rPr>
      <t>+ F</t>
    </r>
    <r>
      <rPr>
        <sz val="6"/>
        <rFont val="Arial"/>
        <family val="2"/>
      </rPr>
      <t>SOM</t>
    </r>
    <r>
      <rPr>
        <sz val="9"/>
        <rFont val="Arial"/>
        <family val="2"/>
      </rPr>
      <t>) *
Frac</t>
    </r>
    <r>
      <rPr>
        <sz val="6"/>
        <rFont val="Arial"/>
        <family val="2"/>
      </rPr>
      <t xml:space="preserve">LEACH-(H) </t>
    </r>
    <r>
      <rPr>
        <sz val="9"/>
        <rFont val="Arial"/>
        <family val="2"/>
      </rPr>
      <t>*
EF</t>
    </r>
    <r>
      <rPr>
        <sz val="6"/>
        <rFont val="Arial"/>
        <family val="2"/>
      </rPr>
      <t>5</t>
    </r>
  </si>
  <si>
    <r>
      <rPr>
        <b/>
        <sz val="9"/>
        <rFont val="Arial"/>
        <family val="2"/>
      </rPr>
      <t>F</t>
    </r>
    <r>
      <rPr>
        <b/>
        <sz val="6"/>
        <rFont val="Arial"/>
        <family val="2"/>
      </rPr>
      <t>CR</t>
    </r>
  </si>
  <si>
    <r>
      <rPr>
        <b/>
        <sz val="9"/>
        <rFont val="Arial"/>
        <family val="2"/>
      </rPr>
      <t>F</t>
    </r>
    <r>
      <rPr>
        <b/>
        <sz val="6"/>
        <rFont val="Arial"/>
        <family val="2"/>
      </rPr>
      <t>SOM</t>
    </r>
  </si>
  <si>
    <r>
      <rPr>
        <b/>
        <sz val="9"/>
        <rFont val="Arial"/>
        <family val="2"/>
      </rPr>
      <t>Frac</t>
    </r>
    <r>
      <rPr>
        <b/>
        <sz val="6"/>
        <rFont val="Arial"/>
        <family val="2"/>
      </rPr>
      <t>LEACH-(H)</t>
    </r>
  </si>
  <si>
    <r>
      <rPr>
        <b/>
        <sz val="9"/>
        <rFont val="Arial"/>
        <family val="2"/>
      </rPr>
      <t>EF</t>
    </r>
    <r>
      <rPr>
        <b/>
        <sz val="6"/>
        <rFont val="Arial"/>
        <family val="2"/>
      </rPr>
      <t>5</t>
    </r>
  </si>
  <si>
    <r>
      <rPr>
        <b/>
        <sz val="9"/>
        <rFont val="Arial"/>
        <family val="2"/>
      </rPr>
      <t>N</t>
    </r>
    <r>
      <rPr>
        <b/>
        <sz val="6"/>
        <rFont val="Arial"/>
        <family val="2"/>
      </rPr>
      <t>2</t>
    </r>
    <r>
      <rPr>
        <b/>
        <sz val="9"/>
        <rFont val="Arial"/>
        <family val="2"/>
      </rPr>
      <t>O</t>
    </r>
    <r>
      <rPr>
        <b/>
        <sz val="6"/>
        <rFont val="Arial"/>
        <family val="2"/>
      </rPr>
      <t>(L)</t>
    </r>
    <r>
      <rPr>
        <b/>
        <sz val="9"/>
        <rFont val="Arial"/>
        <family val="2"/>
      </rPr>
      <t>-N</t>
    </r>
  </si>
  <si>
    <r>
      <t>N</t>
    </r>
    <r>
      <rPr>
        <vertAlign val="subscript"/>
        <sz val="8"/>
        <color rgb="FF000000"/>
        <rFont val="Arial"/>
        <family val="2"/>
      </rPr>
      <t>2</t>
    </r>
    <r>
      <rPr>
        <sz val="8"/>
        <color rgb="FF000000"/>
        <rFont val="Arial"/>
        <family val="2"/>
      </rPr>
      <t>O</t>
    </r>
    <r>
      <rPr>
        <vertAlign val="subscript"/>
        <sz val="8"/>
        <color rgb="FF000000"/>
        <rFont val="Arial"/>
        <family val="2"/>
      </rPr>
      <t>(L)</t>
    </r>
    <r>
      <rPr>
        <sz val="8"/>
        <color rgb="FF000000"/>
        <rFont val="Arial"/>
        <family val="2"/>
      </rPr>
      <t>N = annual N</t>
    </r>
    <r>
      <rPr>
        <vertAlign val="subscript"/>
        <sz val="8"/>
        <color rgb="FF000000"/>
        <rFont val="Arial"/>
        <family val="2"/>
      </rPr>
      <t>2</t>
    </r>
    <r>
      <rPr>
        <sz val="8"/>
        <color rgb="FF000000"/>
        <rFont val="Arial"/>
        <family val="2"/>
      </rPr>
      <t>O–N from leaching and runoff of N additions to managed soils (kg N</t>
    </r>
    <r>
      <rPr>
        <vertAlign val="subscript"/>
        <sz val="8"/>
        <color rgb="FF000000"/>
        <rFont val="Arial"/>
        <family val="2"/>
      </rPr>
      <t>2</t>
    </r>
    <r>
      <rPr>
        <sz val="8"/>
        <color rgb="FF000000"/>
        <rFont val="Arial"/>
        <family val="2"/>
      </rPr>
      <t>O–N y</t>
    </r>
    <r>
      <rPr>
        <vertAlign val="superscript"/>
        <sz val="8"/>
        <color rgb="FF000000"/>
        <rFont val="Arial"/>
        <family val="2"/>
      </rPr>
      <t>-1</t>
    </r>
    <r>
      <rPr>
        <sz val="8"/>
        <color rgb="FF000000"/>
        <rFont val="Arial"/>
        <family val="2"/>
      </rPr>
      <t>)</t>
    </r>
  </si>
  <si>
    <r>
      <t>F</t>
    </r>
    <r>
      <rPr>
        <vertAlign val="subscript"/>
        <sz val="8"/>
        <color theme="1"/>
        <rFont val="Arial"/>
        <family val="2"/>
      </rPr>
      <t>CR</t>
    </r>
    <r>
      <rPr>
        <sz val="8"/>
        <color theme="1"/>
        <rFont val="Arial"/>
        <family val="2"/>
      </rPr>
      <t xml:space="preserve"> = amount of N in crop residues (above and below ground), returned to soils annually (kg N y</t>
    </r>
    <r>
      <rPr>
        <vertAlign val="superscript"/>
        <sz val="8"/>
        <color theme="1"/>
        <rFont val="Arial"/>
        <family val="2"/>
      </rPr>
      <t>-1</t>
    </r>
    <r>
      <rPr>
        <sz val="8"/>
        <color theme="1"/>
        <rFont val="Arial"/>
        <family val="2"/>
      </rPr>
      <t>)</t>
    </r>
  </si>
  <si>
    <r>
      <t>F</t>
    </r>
    <r>
      <rPr>
        <vertAlign val="subscript"/>
        <sz val="8"/>
        <color theme="1"/>
        <rFont val="Arial"/>
        <family val="2"/>
      </rPr>
      <t>SOM</t>
    </r>
    <r>
      <rPr>
        <sz val="8"/>
        <color theme="1"/>
        <rFont val="Arial"/>
        <family val="2"/>
      </rPr>
      <t xml:space="preserve"> = annual N mineralised in mineral soils associated with loss of soil C from soil organic matter as a result of changes to management (kg N y</t>
    </r>
    <r>
      <rPr>
        <vertAlign val="superscript"/>
        <sz val="8"/>
        <color theme="1"/>
        <rFont val="Arial"/>
        <family val="2"/>
      </rPr>
      <t>-1</t>
    </r>
    <r>
      <rPr>
        <sz val="8"/>
        <color theme="1"/>
        <rFont val="Arial"/>
        <family val="2"/>
      </rPr>
      <t xml:space="preserve">) </t>
    </r>
  </si>
  <si>
    <r>
      <t>Frac</t>
    </r>
    <r>
      <rPr>
        <vertAlign val="subscript"/>
        <sz val="8"/>
        <color theme="1"/>
        <rFont val="Arial"/>
        <family val="2"/>
      </rPr>
      <t>LEACH-H</t>
    </r>
    <r>
      <rPr>
        <sz val="8"/>
        <color theme="1"/>
        <rFont val="Arial"/>
        <family val="2"/>
      </rPr>
      <t xml:space="preserve"> = N fraction added to/mineralised in managed soils lost through leaching and runoff (kg N per kg of N additions)</t>
    </r>
  </si>
  <si>
    <r>
      <t>EF</t>
    </r>
    <r>
      <rPr>
        <vertAlign val="subscript"/>
        <sz val="8"/>
        <color theme="1"/>
        <rFont val="Arial"/>
        <family val="2"/>
      </rPr>
      <t>5</t>
    </r>
    <r>
      <rPr>
        <sz val="8"/>
        <color theme="1"/>
        <rFont val="Arial"/>
        <family val="2"/>
      </rPr>
      <t xml:space="preserve"> = emission factor for N</t>
    </r>
    <r>
      <rPr>
        <vertAlign val="subscript"/>
        <sz val="8"/>
        <color theme="1"/>
        <rFont val="Arial"/>
        <family val="2"/>
      </rPr>
      <t>2</t>
    </r>
    <r>
      <rPr>
        <sz val="8"/>
        <color theme="1"/>
        <rFont val="Arial"/>
        <family val="2"/>
      </rPr>
      <t>O emissions from N leaching and runoff (kg N</t>
    </r>
    <r>
      <rPr>
        <vertAlign val="subscript"/>
        <sz val="8"/>
        <color theme="1"/>
        <rFont val="Arial"/>
        <family val="2"/>
      </rPr>
      <t>2</t>
    </r>
    <r>
      <rPr>
        <sz val="8"/>
        <color theme="1"/>
        <rFont val="Arial"/>
        <family val="2"/>
      </rPr>
      <t>O–N per kg N leached and runoff), default = 0.0075</t>
    </r>
  </si>
  <si>
    <t>Equipment</t>
  </si>
  <si>
    <t>Engine power (kW)</t>
  </si>
  <si>
    <t>Details</t>
  </si>
  <si>
    <t>Tractor 75 kW</t>
  </si>
  <si>
    <t>Animal Arable LCA Cattle Health DSL Model</t>
  </si>
  <si>
    <t>8 furrow plough</t>
  </si>
  <si>
    <t>Direct drill</t>
  </si>
  <si>
    <t>https://www.deere.co.uk/en/sprayers/r4140i/</t>
  </si>
  <si>
    <t>Disk fertiliser broadcaster</t>
  </si>
  <si>
    <t>Lime spreader</t>
  </si>
  <si>
    <t>https://www.ropa-maschinenbau.de/en/products/beet-harvester/tiger-6s/engine/</t>
  </si>
  <si>
    <t>Fuel use (l/ha)</t>
  </si>
  <si>
    <t>Holz 2006, Efficient 20 trainer</t>
  </si>
  <si>
    <t>OKL 2008, Efficient20 trainer</t>
  </si>
  <si>
    <t>Rotary cultivations</t>
  </si>
  <si>
    <t>Light cultivations</t>
  </si>
  <si>
    <t>Direct drilling</t>
  </si>
  <si>
    <t>Lime application</t>
  </si>
  <si>
    <t>Cereals harvester</t>
  </si>
  <si>
    <t>Pressing of silage</t>
  </si>
  <si>
    <t>Activity</t>
  </si>
  <si>
    <t>Typical work rate (ha/h)</t>
  </si>
  <si>
    <t>Wheat/Oats</t>
  </si>
  <si>
    <t>Parameter</t>
  </si>
  <si>
    <t>Value</t>
  </si>
  <si>
    <t>Specific fuel consumption</t>
  </si>
  <si>
    <t>g diesel/kWh</t>
  </si>
  <si>
    <t>Efficient20 trainer</t>
  </si>
  <si>
    <t>Density of diesel</t>
  </si>
  <si>
    <t>kg/l</t>
  </si>
  <si>
    <t>BEIS</t>
  </si>
  <si>
    <t>Available process energy in diesel</t>
  </si>
  <si>
    <t>MJ/[kg Diesel]</t>
  </si>
  <si>
    <t>energy in diesel for above</t>
  </si>
  <si>
    <t>MJ/[litre Diesel]</t>
  </si>
  <si>
    <t>Primary energy factor diesel</t>
  </si>
  <si>
    <t>Williams 2006 (Adrian model report)</t>
  </si>
  <si>
    <t>Nitrous oxide</t>
  </si>
  <si>
    <t>GWP_N2O</t>
  </si>
  <si>
    <t>GWP_CH4</t>
  </si>
  <si>
    <t>FERTILISERS, SOIL AMENDMENTS AND SPRAYS</t>
  </si>
  <si>
    <t>Quantity</t>
  </si>
  <si>
    <t>Commercial product</t>
  </si>
  <si>
    <t>Cumulative energy demand</t>
  </si>
  <si>
    <t xml:space="preserve">GWP 100  </t>
  </si>
  <si>
    <r>
      <t>(kg ha</t>
    </r>
    <r>
      <rPr>
        <vertAlign val="superscript"/>
        <sz val="8"/>
        <color theme="1"/>
        <rFont val="Arial"/>
        <family val="2"/>
      </rPr>
      <t>-1</t>
    </r>
    <r>
      <rPr>
        <sz val="8"/>
        <color theme="1"/>
        <rFont val="Arial"/>
        <family val="2"/>
      </rPr>
      <t>)</t>
    </r>
  </si>
  <si>
    <r>
      <t>(MJ</t>
    </r>
    <r>
      <rPr>
        <sz val="8"/>
        <rFont val="Arial"/>
        <family val="2"/>
      </rPr>
      <t>)</t>
    </r>
  </si>
  <si>
    <r>
      <t>( kg CO</t>
    </r>
    <r>
      <rPr>
        <vertAlign val="subscript"/>
        <sz val="8"/>
        <rFont val="Arial"/>
        <family val="2"/>
      </rPr>
      <t>2</t>
    </r>
    <r>
      <rPr>
        <sz val="8"/>
        <rFont val="Arial"/>
        <family val="2"/>
      </rPr>
      <t>eq)</t>
    </r>
  </si>
  <si>
    <t>N</t>
  </si>
  <si>
    <t>Ammonium nitrate</t>
  </si>
  <si>
    <r>
      <t>P</t>
    </r>
    <r>
      <rPr>
        <vertAlign val="subscript"/>
        <sz val="8"/>
        <color theme="1"/>
        <rFont val="Arial"/>
        <family val="2"/>
      </rPr>
      <t>2</t>
    </r>
    <r>
      <rPr>
        <sz val="8"/>
        <color theme="1"/>
        <rFont val="Arial"/>
        <family val="2"/>
      </rPr>
      <t>O</t>
    </r>
    <r>
      <rPr>
        <vertAlign val="subscript"/>
        <sz val="8"/>
        <color theme="1"/>
        <rFont val="Arial"/>
        <family val="2"/>
      </rPr>
      <t>5</t>
    </r>
  </si>
  <si>
    <t>Triple super phosphate</t>
  </si>
  <si>
    <r>
      <t>K</t>
    </r>
    <r>
      <rPr>
        <vertAlign val="subscript"/>
        <sz val="8"/>
        <color theme="1"/>
        <rFont val="Arial"/>
        <family val="2"/>
      </rPr>
      <t>2</t>
    </r>
    <r>
      <rPr>
        <sz val="8"/>
        <color theme="1"/>
        <rFont val="Arial"/>
        <family val="2"/>
      </rPr>
      <t>O</t>
    </r>
  </si>
  <si>
    <t>Muriate of potash</t>
  </si>
  <si>
    <t>Lime</t>
  </si>
  <si>
    <t>Sprays</t>
  </si>
  <si>
    <t>Mean A.I.</t>
  </si>
  <si>
    <t>I inserted a column to put this extra one in here</t>
  </si>
  <si>
    <t>NB this combines column A with column C</t>
  </si>
  <si>
    <t>Search term</t>
  </si>
  <si>
    <t>Item</t>
  </si>
  <si>
    <t>Reference Unit</t>
  </si>
  <si>
    <t>Primary Energy used, MJ</t>
  </si>
  <si>
    <t>GWP 500, kg CO2e</t>
  </si>
  <si>
    <r>
      <t>Eutrophication potential, kg  PO</t>
    </r>
    <r>
      <rPr>
        <b/>
        <vertAlign val="subscript"/>
        <sz val="8"/>
        <color indexed="17"/>
        <rFont val="Arial"/>
        <family val="2"/>
      </rPr>
      <t>4</t>
    </r>
    <r>
      <rPr>
        <b/>
        <sz val="8"/>
        <color indexed="17"/>
        <rFont val="Arial"/>
        <family val="2"/>
      </rPr>
      <t xml:space="preserve"> equiv</t>
    </r>
  </si>
  <si>
    <t>Acidification potential, kg  SO2 Equiv</t>
  </si>
  <si>
    <t>Pesticides used, Dose ha</t>
  </si>
  <si>
    <t>Abiotic ant equ, kg</t>
  </si>
  <si>
    <t>Site Class 2, ha</t>
  </si>
  <si>
    <t xml:space="preserve"> Site Class 3, ha</t>
  </si>
  <si>
    <t>Site Class 4, ha</t>
  </si>
  <si>
    <t>Site Class 5, ha</t>
  </si>
  <si>
    <t>NO3-N, to water, kg</t>
  </si>
  <si>
    <t>NH3-N, to air, kg</t>
  </si>
  <si>
    <t>N2O-N, to air, kg</t>
  </si>
  <si>
    <t>N2-N, to air, kg</t>
  </si>
  <si>
    <t>Total N emitted, kg</t>
  </si>
  <si>
    <t>UK arable grade 3a</t>
  </si>
  <si>
    <t>Site Class 7, ha</t>
  </si>
  <si>
    <t>Overseas arable, ha</t>
  </si>
  <si>
    <t>Overseas other land, ha</t>
  </si>
  <si>
    <t>0</t>
  </si>
  <si>
    <t>Byproduct, kg</t>
  </si>
  <si>
    <t>Cu, used, kg</t>
  </si>
  <si>
    <t>Fe, used, kg</t>
  </si>
  <si>
    <t>K, used, kg</t>
  </si>
  <si>
    <t>Mg, used, kg</t>
  </si>
  <si>
    <t>P, used, kg</t>
  </si>
  <si>
    <t>S, used, kg</t>
  </si>
  <si>
    <t>Water (not field), m^3</t>
  </si>
  <si>
    <t>ODP, kg CFC-11 Equ.</t>
  </si>
  <si>
    <t>POCP, kg ethylene Equ.</t>
  </si>
  <si>
    <t>VOC, kg C Eq</t>
  </si>
  <si>
    <t>Natural gas, MJ</t>
  </si>
  <si>
    <t>Crude oil, MJ</t>
  </si>
  <si>
    <t>Propane, MJ</t>
  </si>
  <si>
    <t>Diesel General, MJ</t>
  </si>
  <si>
    <t>Diesel Tractor, MJ</t>
  </si>
  <si>
    <t>Naphtha, MJ</t>
  </si>
  <si>
    <t>Fuel oil, MJ</t>
  </si>
  <si>
    <t>Hard coal, MJ</t>
  </si>
  <si>
    <t>Brown coal, MJ</t>
  </si>
  <si>
    <t>Coal, MJ</t>
  </si>
  <si>
    <t>Electricity, MJ</t>
  </si>
  <si>
    <t>renewable energy, MJ</t>
  </si>
  <si>
    <t>Nuclear energy, MJ</t>
  </si>
  <si>
    <t>PO4-P, to water, kg</t>
  </si>
  <si>
    <t>K, to water, kg</t>
  </si>
  <si>
    <t>S, to water, kg</t>
  </si>
  <si>
    <t>CO2 (total), to air, kg</t>
  </si>
  <si>
    <t>Biogenic CO2, to air, kg</t>
  </si>
  <si>
    <t>Biogenic CO2 uptake, kg</t>
  </si>
  <si>
    <t>CH4, to air, kg</t>
  </si>
  <si>
    <t>PAH, kg</t>
  </si>
  <si>
    <t>Benzo(a)pyrene, kg</t>
  </si>
  <si>
    <t>Dioxins, kg 2,3,7,8-tetrachlorodibenzo-p-dioxin Equ.</t>
  </si>
  <si>
    <t>Radioactivity to Air, Bq</t>
  </si>
  <si>
    <t>Radioactivity to Water, Bq</t>
  </si>
  <si>
    <r>
      <t>GWP 20, kg CO</t>
    </r>
    <r>
      <rPr>
        <b/>
        <vertAlign val="subscript"/>
        <sz val="8"/>
        <color indexed="17"/>
        <rFont val="Arial"/>
        <family val="2"/>
      </rPr>
      <t>2</t>
    </r>
    <r>
      <rPr>
        <b/>
        <sz val="8"/>
        <color indexed="17"/>
        <rFont val="Arial"/>
        <family val="2"/>
      </rPr>
      <t>e</t>
    </r>
  </si>
  <si>
    <r>
      <t>GWP 100, kg CO</t>
    </r>
    <r>
      <rPr>
        <b/>
        <vertAlign val="subscript"/>
        <sz val="8"/>
        <color indexed="17"/>
        <rFont val="Arial"/>
        <family val="2"/>
      </rPr>
      <t>2</t>
    </r>
    <r>
      <rPr>
        <b/>
        <sz val="8"/>
        <color indexed="17"/>
        <rFont val="Arial"/>
        <family val="2"/>
      </rPr>
      <t>e</t>
    </r>
  </si>
  <si>
    <t>Eutrophication Euro vals, kg</t>
  </si>
  <si>
    <t>Acidification Euro vals, kg</t>
  </si>
  <si>
    <t>Site Class 1, ha</t>
  </si>
  <si>
    <t>Site Class 6, ha</t>
  </si>
  <si>
    <r>
      <t>Field water, m</t>
    </r>
    <r>
      <rPr>
        <b/>
        <vertAlign val="superscript"/>
        <sz val="8"/>
        <color indexed="17"/>
        <rFont val="Arial"/>
        <family val="2"/>
      </rPr>
      <t>3</t>
    </r>
  </si>
  <si>
    <t>Crude Oil, %</t>
  </si>
  <si>
    <t>Natural gas, %</t>
  </si>
  <si>
    <t>Coal, %</t>
  </si>
  <si>
    <t>Nuclear, %</t>
  </si>
  <si>
    <t>Renewable, %</t>
  </si>
  <si>
    <t>Check for 100%</t>
  </si>
  <si>
    <t>Particles, kg PM 10</t>
  </si>
  <si>
    <t>Particles, kg PM 2.5</t>
  </si>
  <si>
    <r>
      <t>NOx as NO</t>
    </r>
    <r>
      <rPr>
        <b/>
        <vertAlign val="subscript"/>
        <sz val="8"/>
        <color indexed="17"/>
        <rFont val="Arial"/>
        <family val="2"/>
      </rPr>
      <t>2</t>
    </r>
    <r>
      <rPr>
        <b/>
        <sz val="8"/>
        <color indexed="17"/>
        <rFont val="Arial"/>
        <family val="2"/>
      </rPr>
      <t>, kg</t>
    </r>
  </si>
  <si>
    <t>CO, kg</t>
  </si>
  <si>
    <t>Peat, kg</t>
  </si>
  <si>
    <t>Other GWP 100 prop, %</t>
  </si>
  <si>
    <t>Blue water use, m3</t>
  </si>
  <si>
    <t>Green water use, m3</t>
  </si>
  <si>
    <t>Total Water Footprint, m3</t>
  </si>
  <si>
    <t>end</t>
  </si>
  <si>
    <t>g CO2/MJ</t>
  </si>
  <si>
    <t>Electricity, UK ELCD</t>
  </si>
  <si>
    <t>MJ</t>
  </si>
  <si>
    <t>Electricity, EU 25, ELCD</t>
  </si>
  <si>
    <t>Diesel, General</t>
  </si>
  <si>
    <t>Diesel, Tractor</t>
  </si>
  <si>
    <t xml:space="preserve">Diesel, General </t>
  </si>
  <si>
    <t>kg</t>
  </si>
  <si>
    <t>l</t>
  </si>
  <si>
    <t>Ammonium Nitrate (AN) as N</t>
  </si>
  <si>
    <t>kg N as N</t>
  </si>
  <si>
    <t>Urea (UN) as N</t>
  </si>
  <si>
    <t>Calcium Ammonium Nitrate (CAN) as N</t>
  </si>
  <si>
    <t>Ammonium Sulphate (AS) as N</t>
  </si>
  <si>
    <t>Mean N fertiliser for grassland as N</t>
  </si>
  <si>
    <t>Triple SuperPhosphate as P</t>
  </si>
  <si>
    <t>kg P as P</t>
  </si>
  <si>
    <t>Single SuperPhosphate as P</t>
  </si>
  <si>
    <t>Rock P from 25% P2O5 Tunisian</t>
  </si>
  <si>
    <t>Mean P fertiliser for grassland as P</t>
  </si>
  <si>
    <t>K fertiliser as K</t>
  </si>
  <si>
    <t>kg K as K</t>
  </si>
  <si>
    <t>Rock K as K</t>
  </si>
  <si>
    <t>Gypsum as S (quarried)</t>
  </si>
  <si>
    <t>kg S as S</t>
  </si>
  <si>
    <t>Gypsum as S from FDG</t>
  </si>
  <si>
    <t>Gypsum as S (Mixed)</t>
  </si>
  <si>
    <t>Limestone as rock</t>
  </si>
  <si>
    <t>kg product</t>
  </si>
  <si>
    <t>Limestone as CaO</t>
  </si>
  <si>
    <t>kg CaO</t>
  </si>
  <si>
    <t>Limestone as Ca</t>
  </si>
  <si>
    <t>kg Ca</t>
  </si>
  <si>
    <t>Total for Burnt Lime (or chalk) as 98% CaO product</t>
  </si>
  <si>
    <t>Burnt Lime (or chalk) as  CaO</t>
  </si>
  <si>
    <t>Burnt Lime (or chalk) as  Ca</t>
  </si>
  <si>
    <t>Weighted Lime usage as product</t>
  </si>
  <si>
    <t>Weighted Lime usage as CaO</t>
  </si>
  <si>
    <t>Weighted Lime usage as Ca</t>
  </si>
  <si>
    <t>Imported compost (total FW basis)</t>
  </si>
  <si>
    <t>t</t>
  </si>
  <si>
    <t>Compost-N</t>
  </si>
  <si>
    <t>Compost-P</t>
  </si>
  <si>
    <t>Compost-K</t>
  </si>
  <si>
    <t>Compost-S</t>
  </si>
  <si>
    <t>Pesticide mean A.I.</t>
  </si>
  <si>
    <t>emissions from combustion</t>
  </si>
  <si>
    <t>N2O % ot total emissions</t>
  </si>
  <si>
    <t>total emissions</t>
  </si>
  <si>
    <r>
      <t>CO</t>
    </r>
    <r>
      <rPr>
        <b/>
        <sz val="8"/>
        <color rgb="FF000000"/>
        <rFont val="Calibri"/>
        <family val="2"/>
      </rPr>
      <t>₂</t>
    </r>
  </si>
  <si>
    <r>
      <t>CH</t>
    </r>
    <r>
      <rPr>
        <b/>
        <sz val="8"/>
        <color rgb="FF000000"/>
        <rFont val="Calibri"/>
        <family val="2"/>
      </rPr>
      <t>₄</t>
    </r>
  </si>
  <si>
    <r>
      <t>N</t>
    </r>
    <r>
      <rPr>
        <b/>
        <sz val="8"/>
        <color rgb="FF000000"/>
        <rFont val="Calibri"/>
        <family val="2"/>
      </rPr>
      <t>₂</t>
    </r>
    <r>
      <rPr>
        <b/>
        <sz val="8"/>
        <color rgb="FF000000"/>
        <rFont val="Arial"/>
        <family val="2"/>
      </rPr>
      <t>O</t>
    </r>
  </si>
  <si>
    <t>Intructions for users:</t>
  </si>
  <si>
    <t>Data in the 'Results' and 'Summary' tabs should not be amended.</t>
  </si>
  <si>
    <r>
      <rPr>
        <b/>
        <sz val="8"/>
        <color rgb="FF000000"/>
        <rFont val="Arial"/>
      </rPr>
      <t>Life cycle emissions (t CO</t>
    </r>
    <r>
      <rPr>
        <b/>
        <vertAlign val="subscript"/>
        <sz val="8"/>
        <color rgb="FF000000"/>
        <rFont val="Arial"/>
      </rPr>
      <t>2</t>
    </r>
    <r>
      <rPr>
        <b/>
        <sz val="8"/>
        <color rgb="FF000000"/>
        <rFont val="Arial"/>
      </rPr>
      <t xml:space="preserve"> eq ha</t>
    </r>
    <r>
      <rPr>
        <b/>
        <vertAlign val="superscript"/>
        <sz val="8"/>
        <color rgb="FF000000"/>
        <rFont val="Arial"/>
      </rPr>
      <t>-1</t>
    </r>
    <r>
      <rPr>
        <b/>
        <sz val="8"/>
        <color rgb="FF000000"/>
        <rFont val="Arial"/>
      </rPr>
      <t>)</t>
    </r>
  </si>
  <si>
    <t>tonnes</t>
  </si>
  <si>
    <t>The model was developed using separate tabs for calculations under the same category and including an overall 'Results' and 'Summary' tabs at the start.</t>
  </si>
  <si>
    <t>%</t>
  </si>
  <si>
    <t>direct and indirect emissions</t>
  </si>
  <si>
    <t>direct emissions</t>
  </si>
  <si>
    <t>Total emissions</t>
  </si>
  <si>
    <t xml:space="preserve">direct and indirect emissions </t>
  </si>
  <si>
    <t>Legend</t>
  </si>
  <si>
    <r>
      <t>Sida</t>
    </r>
    <r>
      <rPr>
        <vertAlign val="subscript"/>
        <sz val="8"/>
        <rFont val="Arial"/>
        <family val="2"/>
      </rPr>
      <t>y1-y4</t>
    </r>
  </si>
  <si>
    <r>
      <t>Sida</t>
    </r>
    <r>
      <rPr>
        <vertAlign val="subscript"/>
        <sz val="8"/>
        <rFont val="Arial"/>
        <family val="2"/>
      </rPr>
      <t>y5-onwards</t>
    </r>
  </si>
  <si>
    <t>Sida (y1-y4)</t>
  </si>
  <si>
    <t>Sida (y5-onwards)</t>
  </si>
  <si>
    <r>
      <t>AGR</t>
    </r>
    <r>
      <rPr>
        <vertAlign val="subscript"/>
        <sz val="8"/>
        <color rgb="FF000000"/>
        <rFont val="Arial"/>
        <family val="2"/>
      </rPr>
      <t>(T)</t>
    </r>
    <r>
      <rPr>
        <sz val="8"/>
        <color rgb="FF000000"/>
        <rFont val="Arial"/>
        <family val="2"/>
      </rPr>
      <t xml:space="preserve"> = above-ground annual crop residue (kg DM y</t>
    </r>
    <r>
      <rPr>
        <vertAlign val="superscript"/>
        <sz val="8"/>
        <color rgb="FF000000"/>
        <rFont val="Arial"/>
        <family val="2"/>
      </rPr>
      <t>-1</t>
    </r>
    <r>
      <rPr>
        <sz val="8"/>
        <color rgb="FF000000"/>
        <rFont val="Arial"/>
        <family val="2"/>
      </rPr>
      <t>)</t>
    </r>
  </si>
  <si>
    <t>SRCy1-y4</t>
  </si>
  <si>
    <r>
      <t>SRCy</t>
    </r>
    <r>
      <rPr>
        <vertAlign val="subscript"/>
        <sz val="8"/>
        <color rgb="FF000000"/>
        <rFont val="Arial"/>
        <family val="2"/>
      </rPr>
      <t>1-y4</t>
    </r>
  </si>
  <si>
    <r>
      <t>SRCy</t>
    </r>
    <r>
      <rPr>
        <vertAlign val="subscript"/>
        <sz val="8"/>
        <color rgb="FF000000"/>
        <rFont val="Arial"/>
        <family val="2"/>
      </rPr>
      <t>5-onwards</t>
    </r>
  </si>
  <si>
    <t>SRC (year 1 - year 4)</t>
  </si>
  <si>
    <t>SRC (year 5 - onwards)</t>
  </si>
  <si>
    <t>SRC (harvest year)</t>
  </si>
  <si>
    <r>
      <t>Annual N</t>
    </r>
    <r>
      <rPr>
        <b/>
        <vertAlign val="subscript"/>
        <sz val="8"/>
        <color rgb="FF000000"/>
        <rFont val="Calibri"/>
        <family val="2"/>
      </rPr>
      <t>2</t>
    </r>
    <r>
      <rPr>
        <b/>
        <sz val="8"/>
        <color rgb="FF000000"/>
        <rFont val="Calibri"/>
        <family val="2"/>
      </rPr>
      <t>O emissions (t CO</t>
    </r>
    <r>
      <rPr>
        <b/>
        <vertAlign val="subscript"/>
        <sz val="8"/>
        <color rgb="FF000000"/>
        <rFont val="Calibri"/>
        <family val="2"/>
      </rPr>
      <t>2</t>
    </r>
    <r>
      <rPr>
        <b/>
        <sz val="8"/>
        <color rgb="FF000000"/>
        <rFont val="Calibri"/>
        <family val="2"/>
      </rPr>
      <t xml:space="preserve"> eq ha</t>
    </r>
    <r>
      <rPr>
        <b/>
        <vertAlign val="superscript"/>
        <sz val="8"/>
        <color rgb="FF000000"/>
        <rFont val="Calibri"/>
        <family val="2"/>
      </rPr>
      <t>-1</t>
    </r>
    <r>
      <rPr>
        <b/>
        <sz val="8"/>
        <color rgb="FF000000"/>
        <rFont val="Calibri"/>
        <family val="2"/>
      </rPr>
      <t>y</t>
    </r>
    <r>
      <rPr>
        <b/>
        <vertAlign val="superscript"/>
        <sz val="8"/>
        <color rgb="FF000000"/>
        <rFont val="Calibri"/>
        <family val="2"/>
      </rPr>
      <t>-1</t>
    </r>
    <r>
      <rPr>
        <b/>
        <sz val="8"/>
        <color rgb="FF000000"/>
        <rFont val="Calibri"/>
        <family val="2"/>
      </rPr>
      <t>)</t>
    </r>
  </si>
  <si>
    <r>
      <t>Annual emissions (t CO</t>
    </r>
    <r>
      <rPr>
        <b/>
        <vertAlign val="subscript"/>
        <sz val="8"/>
        <color rgb="FF000000"/>
        <rFont val="Arial"/>
        <family val="2"/>
      </rPr>
      <t>2</t>
    </r>
    <r>
      <rPr>
        <b/>
        <sz val="8"/>
        <color rgb="FF000000"/>
        <rFont val="Arial"/>
        <family val="2"/>
      </rPr>
      <t xml:space="preserve"> eq ha</t>
    </r>
    <r>
      <rPr>
        <b/>
        <vertAlign val="superscript"/>
        <sz val="8"/>
        <color rgb="FF000000"/>
        <rFont val="Arial"/>
        <family val="2"/>
      </rPr>
      <t>-1</t>
    </r>
    <r>
      <rPr>
        <b/>
        <sz val="8"/>
        <color rgb="FF000000"/>
        <rFont val="Arial"/>
        <family val="2"/>
      </rPr>
      <t>y</t>
    </r>
    <r>
      <rPr>
        <b/>
        <vertAlign val="superscript"/>
        <sz val="8"/>
        <color rgb="FF000000"/>
        <rFont val="Arial"/>
        <family val="2"/>
      </rPr>
      <t>-1</t>
    </r>
    <r>
      <rPr>
        <b/>
        <sz val="8"/>
        <color rgb="FF000000"/>
        <rFont val="Arial"/>
        <family val="2"/>
      </rPr>
      <t>)</t>
    </r>
  </si>
  <si>
    <t>Weighted SRC direct NO2 emissions (Co2)</t>
  </si>
  <si>
    <t>Weighted Sida underground biomass emissions (CO2)</t>
  </si>
  <si>
    <t xml:space="preserve">Weighted SRC N2O emissions </t>
  </si>
  <si>
    <r>
      <t>kg N</t>
    </r>
    <r>
      <rPr>
        <vertAlign val="subscript"/>
        <sz val="11"/>
        <color rgb="FF000000"/>
        <rFont val="Calibri"/>
        <family val="2"/>
      </rPr>
      <t>2</t>
    </r>
    <r>
      <rPr>
        <sz val="11"/>
        <color rgb="FF000000"/>
        <rFont val="Calibri"/>
        <family val="2"/>
      </rPr>
      <t>O-N N y</t>
    </r>
    <r>
      <rPr>
        <vertAlign val="superscript"/>
        <sz val="11"/>
        <color rgb="FF000000"/>
        <rFont val="Calibri"/>
        <family val="2"/>
      </rPr>
      <t>-1</t>
    </r>
  </si>
  <si>
    <r>
      <t>kg CO</t>
    </r>
    <r>
      <rPr>
        <vertAlign val="subscript"/>
        <sz val="11"/>
        <color rgb="FF000000"/>
        <rFont val="Calibri"/>
        <family val="2"/>
      </rPr>
      <t>2</t>
    </r>
    <r>
      <rPr>
        <sz val="11"/>
        <color rgb="FF000000"/>
        <rFont val="Calibri"/>
        <family val="2"/>
      </rPr>
      <t xml:space="preserve"> ha</t>
    </r>
    <r>
      <rPr>
        <vertAlign val="superscript"/>
        <sz val="11"/>
        <color rgb="FF000000"/>
        <rFont val="Calibri"/>
        <family val="2"/>
      </rPr>
      <t>-1</t>
    </r>
    <r>
      <rPr>
        <sz val="11"/>
        <color rgb="FF000000"/>
        <rFont val="Calibri"/>
        <family val="2"/>
      </rPr>
      <t xml:space="preserve"> y</t>
    </r>
    <r>
      <rPr>
        <vertAlign val="superscript"/>
        <sz val="11"/>
        <color rgb="FF000000"/>
        <rFont val="Calibri"/>
        <family val="2"/>
      </rPr>
      <t>-1</t>
    </r>
  </si>
  <si>
    <r>
      <t>kg CO</t>
    </r>
    <r>
      <rPr>
        <vertAlign val="subscript"/>
        <sz val="11"/>
        <color rgb="FF000000"/>
        <rFont val="Calibri"/>
        <family val="2"/>
      </rPr>
      <t>2</t>
    </r>
    <r>
      <rPr>
        <sz val="11"/>
        <color rgb="FF000000"/>
        <rFont val="Calibri"/>
        <family val="2"/>
      </rPr>
      <t>eq ha</t>
    </r>
    <r>
      <rPr>
        <vertAlign val="superscript"/>
        <sz val="11"/>
        <color rgb="FF000000"/>
        <rFont val="Calibri"/>
        <family val="2"/>
      </rPr>
      <t>-1</t>
    </r>
    <r>
      <rPr>
        <sz val="11"/>
        <color rgb="FF000000"/>
        <rFont val="Calibri"/>
        <family val="2"/>
      </rPr>
      <t xml:space="preserve"> y</t>
    </r>
    <r>
      <rPr>
        <vertAlign val="superscript"/>
        <sz val="11"/>
        <color rgb="FF000000"/>
        <rFont val="Calibri"/>
        <family val="2"/>
      </rPr>
      <t>-1</t>
    </r>
  </si>
  <si>
    <t>GWP</t>
  </si>
  <si>
    <t>EF</t>
  </si>
  <si>
    <t>Gas</t>
  </si>
  <si>
    <t>Name</t>
  </si>
  <si>
    <r>
      <t>kg kWh</t>
    </r>
    <r>
      <rPr>
        <b/>
        <vertAlign val="superscript"/>
        <sz val="11"/>
        <color rgb="FF000000"/>
        <rFont val="Calibri"/>
        <family val="2"/>
      </rPr>
      <t>-1</t>
    </r>
  </si>
  <si>
    <r>
      <t>kg CO</t>
    </r>
    <r>
      <rPr>
        <vertAlign val="subscript"/>
        <sz val="11"/>
        <color rgb="FF000000"/>
        <rFont val="Calibri"/>
        <family val="2"/>
      </rPr>
      <t>2</t>
    </r>
    <r>
      <rPr>
        <sz val="11"/>
        <color rgb="FF000000"/>
        <rFont val="Calibri"/>
        <family val="2"/>
      </rPr>
      <t xml:space="preserve"> MJ</t>
    </r>
    <r>
      <rPr>
        <vertAlign val="superscript"/>
        <sz val="11"/>
        <color rgb="FF000000"/>
        <rFont val="Calibri"/>
        <family val="2"/>
      </rPr>
      <t>-1</t>
    </r>
  </si>
  <si>
    <t>Aboveground biomass</t>
  </si>
  <si>
    <t>Carbon Fraction</t>
  </si>
  <si>
    <r>
      <t xml:space="preserve">IPCC (2019) </t>
    </r>
    <r>
      <rPr>
        <i/>
        <sz val="11"/>
        <color rgb="FF000000"/>
        <rFont val="Calibri"/>
        <family val="2"/>
        <scheme val="minor"/>
      </rPr>
      <t>Chapter 2</t>
    </r>
  </si>
  <si>
    <r>
      <t xml:space="preserve">IPCC (2019) </t>
    </r>
    <r>
      <rPr>
        <i/>
        <sz val="11"/>
        <color rgb="FF000000"/>
        <rFont val="Calibri"/>
        <family val="2"/>
        <scheme val="minor"/>
      </rPr>
      <t>Chapter 5: Cropland</t>
    </r>
  </si>
  <si>
    <r>
      <t xml:space="preserve">IPCC (2006) </t>
    </r>
    <r>
      <rPr>
        <i/>
        <sz val="11"/>
        <color rgb="FF000000"/>
        <rFont val="Calibri"/>
        <family val="2"/>
        <scheme val="minor"/>
      </rPr>
      <t>Chapter 2</t>
    </r>
  </si>
  <si>
    <r>
      <t xml:space="preserve">Mann, J. J. </t>
    </r>
    <r>
      <rPr>
        <i/>
        <sz val="11"/>
        <color rgb="FF000000"/>
        <rFont val="Calibri"/>
        <family val="2"/>
        <scheme val="minor"/>
      </rPr>
      <t>et al.</t>
    </r>
    <r>
      <rPr>
        <sz val="11"/>
        <color rgb="FF000000"/>
        <rFont val="Calibri"/>
        <family val="2"/>
        <scheme val="minor"/>
      </rPr>
      <t xml:space="preserve"> (2013)</t>
    </r>
  </si>
  <si>
    <r>
      <t xml:space="preserve">Schoo, B. </t>
    </r>
    <r>
      <rPr>
        <i/>
        <sz val="11"/>
        <color rgb="FF000000"/>
        <rFont val="Calibri"/>
        <family val="2"/>
        <scheme val="minor"/>
      </rPr>
      <t>et al.</t>
    </r>
    <r>
      <rPr>
        <sz val="11"/>
        <color rgb="FF000000"/>
        <rFont val="Calibri"/>
        <family val="2"/>
        <scheme val="minor"/>
      </rPr>
      <t xml:space="preserve"> (2017)</t>
    </r>
  </si>
  <si>
    <t xml:space="preserve">R </t>
  </si>
  <si>
    <t>Yields</t>
  </si>
  <si>
    <t>1 when whole crop removed</t>
  </si>
  <si>
    <t xml:space="preserve">0 in Tier 1 </t>
  </si>
  <si>
    <t>Belowground biomass</t>
  </si>
  <si>
    <r>
      <t>t C ha</t>
    </r>
    <r>
      <rPr>
        <vertAlign val="superscript"/>
        <sz val="11"/>
        <color rgb="FF000000"/>
        <rFont val="Calibri"/>
        <family val="2"/>
        <scheme val="minor"/>
      </rPr>
      <t>-1</t>
    </r>
  </si>
  <si>
    <r>
      <t>t odt ha</t>
    </r>
    <r>
      <rPr>
        <vertAlign val="superscript"/>
        <sz val="11"/>
        <color rgb="FF000000"/>
        <rFont val="Calibri"/>
        <family val="2"/>
        <scheme val="minor"/>
      </rPr>
      <t>-1</t>
    </r>
    <r>
      <rPr>
        <sz val="11"/>
        <color rgb="FF000000"/>
        <rFont val="Calibri"/>
        <family val="2"/>
        <scheme val="minor"/>
      </rPr>
      <t xml:space="preserve"> y</t>
    </r>
    <r>
      <rPr>
        <vertAlign val="superscript"/>
        <sz val="11"/>
        <color rgb="FF000000"/>
        <rFont val="Calibri"/>
        <family val="2"/>
        <scheme val="minor"/>
      </rPr>
      <t>-1</t>
    </r>
  </si>
  <si>
    <r>
      <t>Max AG biomass carbon stock at harvest (L</t>
    </r>
    <r>
      <rPr>
        <b/>
        <vertAlign val="subscript"/>
        <sz val="11"/>
        <color rgb="FF000000"/>
        <rFont val="Calibri"/>
        <family val="2"/>
        <scheme val="minor"/>
      </rPr>
      <t>max</t>
    </r>
    <r>
      <rPr>
        <b/>
        <sz val="11"/>
        <color rgb="FF000000"/>
        <rFont val="Calibri"/>
        <family val="2"/>
        <scheme val="minor"/>
      </rPr>
      <t>)</t>
    </r>
  </si>
  <si>
    <r>
      <t>t C ha</t>
    </r>
    <r>
      <rPr>
        <vertAlign val="superscript"/>
        <sz val="11"/>
        <color rgb="FF000000"/>
        <rFont val="Calibri"/>
        <family val="2"/>
        <scheme val="minor"/>
      </rPr>
      <t>-1</t>
    </r>
    <r>
      <rPr>
        <sz val="11"/>
        <color rgb="FF000000"/>
        <rFont val="Calibri"/>
        <family val="2"/>
        <scheme val="minor"/>
      </rPr>
      <t xml:space="preserve"> y</t>
    </r>
    <r>
      <rPr>
        <vertAlign val="superscript"/>
        <sz val="11"/>
        <color rgb="FF000000"/>
        <rFont val="Calibri"/>
        <family val="2"/>
        <scheme val="minor"/>
      </rPr>
      <t>-1</t>
    </r>
  </si>
  <si>
    <t>Category</t>
  </si>
  <si>
    <t>Category/ Parameter</t>
  </si>
  <si>
    <r>
      <t xml:space="preserve"> (t DM ha</t>
    </r>
    <r>
      <rPr>
        <vertAlign val="superscript"/>
        <sz val="11"/>
        <color rgb="FF000000"/>
        <rFont val="Calibri"/>
        <family val="2"/>
        <scheme val="minor"/>
      </rPr>
      <t>-1</t>
    </r>
    <r>
      <rPr>
        <sz val="11"/>
        <color rgb="FF000000"/>
        <rFont val="Calibri"/>
        <family val="2"/>
        <scheme val="minor"/>
      </rPr>
      <t>)</t>
    </r>
  </si>
  <si>
    <t>Root yield</t>
  </si>
  <si>
    <r>
      <t>odt ha</t>
    </r>
    <r>
      <rPr>
        <vertAlign val="superscript"/>
        <sz val="11"/>
        <color rgb="FF000000"/>
        <rFont val="Calibri"/>
        <family val="2"/>
        <scheme val="minor"/>
      </rPr>
      <t>-1</t>
    </r>
    <r>
      <rPr>
        <sz val="11"/>
        <color rgb="FF000000"/>
        <rFont val="Calibri"/>
        <family val="2"/>
        <scheme val="minor"/>
      </rPr>
      <t xml:space="preserve"> y</t>
    </r>
    <r>
      <rPr>
        <vertAlign val="superscript"/>
        <sz val="11"/>
        <color rgb="FF000000"/>
        <rFont val="Calibri"/>
        <family val="2"/>
        <scheme val="minor"/>
      </rPr>
      <t>-1</t>
    </r>
  </si>
  <si>
    <r>
      <t>∆C</t>
    </r>
    <r>
      <rPr>
        <b/>
        <vertAlign val="subscript"/>
        <sz val="8"/>
        <color rgb="FF000000"/>
        <rFont val="Arial"/>
        <family val="2"/>
      </rPr>
      <t>G</t>
    </r>
  </si>
  <si>
    <r>
      <t>∆C</t>
    </r>
    <r>
      <rPr>
        <b/>
        <vertAlign val="subscript"/>
        <sz val="8"/>
        <color rgb="FF000000"/>
        <rFont val="Arial"/>
        <family val="2"/>
      </rPr>
      <t>L</t>
    </r>
  </si>
  <si>
    <r>
      <t>∆C</t>
    </r>
    <r>
      <rPr>
        <b/>
        <vertAlign val="subscript"/>
        <sz val="8"/>
        <color rgb="FF000000"/>
        <rFont val="Arial"/>
        <family val="2"/>
      </rPr>
      <t>B</t>
    </r>
  </si>
  <si>
    <r>
      <t>G</t>
    </r>
    <r>
      <rPr>
        <b/>
        <vertAlign val="subscript"/>
        <sz val="8"/>
        <color rgb="FF000000"/>
        <rFont val="Arial"/>
        <family val="2"/>
      </rPr>
      <t>w</t>
    </r>
  </si>
  <si>
    <r>
      <t>G</t>
    </r>
    <r>
      <rPr>
        <b/>
        <vertAlign val="subscript"/>
        <sz val="8"/>
        <color rgb="FF000000"/>
        <rFont val="Arial"/>
        <family val="2"/>
      </rPr>
      <t>total</t>
    </r>
  </si>
  <si>
    <r>
      <t>A</t>
    </r>
    <r>
      <rPr>
        <b/>
        <vertAlign val="subscript"/>
        <sz val="8"/>
        <color rgb="FF000000"/>
        <rFont val="Arial"/>
        <family val="2"/>
      </rPr>
      <t>disturbance</t>
    </r>
  </si>
  <si>
    <r>
      <t>B</t>
    </r>
    <r>
      <rPr>
        <b/>
        <vertAlign val="subscript"/>
        <sz val="8"/>
        <color rgb="FF000000"/>
        <rFont val="Arial"/>
        <family val="2"/>
      </rPr>
      <t>w</t>
    </r>
  </si>
  <si>
    <t>Subcategory</t>
  </si>
  <si>
    <r>
      <rPr>
        <sz val="10"/>
        <rFont val="Arial"/>
        <family val="2"/>
      </rPr>
      <t>Volume 2 : Energy</t>
    </r>
  </si>
  <si>
    <r>
      <rPr>
        <sz val="10"/>
        <rFont val="Arial"/>
        <family val="2"/>
      </rPr>
      <t>Annex 1: Worksheets</t>
    </r>
  </si>
  <si>
    <r>
      <rPr>
        <sz val="10"/>
        <rFont val="Arial"/>
        <family val="2"/>
      </rPr>
      <t>2006 IPCC Guidelines for National Greenhouse Gas Inventories  A1.21</t>
    </r>
  </si>
  <si>
    <r>
      <t>CO</t>
    </r>
    <r>
      <rPr>
        <vertAlign val="subscript"/>
        <sz val="8"/>
        <rFont val="Arial"/>
        <family val="2"/>
      </rPr>
      <t>2</t>
    </r>
    <r>
      <rPr>
        <sz val="8"/>
        <rFont val="Arial"/>
        <family val="2"/>
      </rPr>
      <t xml:space="preserve"> Emissions
</t>
    </r>
  </si>
  <si>
    <r>
      <t>kg CO</t>
    </r>
    <r>
      <rPr>
        <vertAlign val="subscript"/>
        <sz val="8"/>
        <rFont val="Arial"/>
        <family val="2"/>
      </rPr>
      <t>2</t>
    </r>
  </si>
  <si>
    <r>
      <t>kg CH</t>
    </r>
    <r>
      <rPr>
        <vertAlign val="subscript"/>
        <sz val="8"/>
        <rFont val="Arial"/>
        <family val="2"/>
      </rPr>
      <t>4</t>
    </r>
  </si>
  <si>
    <r>
      <t>kg N</t>
    </r>
    <r>
      <rPr>
        <vertAlign val="subscript"/>
        <sz val="8"/>
        <rFont val="Arial"/>
        <family val="2"/>
      </rPr>
      <t>2</t>
    </r>
    <r>
      <rPr>
        <sz val="8"/>
        <rFont val="Arial"/>
        <family val="2"/>
      </rPr>
      <t>O</t>
    </r>
  </si>
  <si>
    <r>
      <t>CH</t>
    </r>
    <r>
      <rPr>
        <vertAlign val="subscript"/>
        <sz val="8"/>
        <rFont val="Arial"/>
        <family val="2"/>
      </rPr>
      <t>4</t>
    </r>
    <r>
      <rPr>
        <sz val="8"/>
        <rFont val="Arial"/>
        <family val="2"/>
      </rPr>
      <t xml:space="preserve"> Emissions</t>
    </r>
  </si>
  <si>
    <r>
      <t>N</t>
    </r>
    <r>
      <rPr>
        <vertAlign val="subscript"/>
        <sz val="8"/>
        <rFont val="Arial"/>
        <family val="2"/>
      </rPr>
      <t>2</t>
    </r>
    <r>
      <rPr>
        <sz val="8"/>
        <rFont val="Arial"/>
        <family val="2"/>
      </rPr>
      <t>O Emissions</t>
    </r>
  </si>
  <si>
    <r>
      <rPr>
        <sz val="10"/>
        <rFont val="Arial"/>
        <family val="2"/>
      </rPr>
      <t>Volume 4: Agriculture, Forestry and Other Land Use</t>
    </r>
  </si>
  <si>
    <r>
      <rPr>
        <sz val="10"/>
        <rFont val="Arial"/>
        <family val="2"/>
      </rPr>
      <t>A2.6  2019 Refinement to the 2006 IPCC Guidelines for National Greenhouse Gas Inventories</t>
    </r>
  </si>
  <si>
    <t>Carbon Stock Change in Soil Pool</t>
  </si>
  <si>
    <t>Description</t>
  </si>
  <si>
    <r>
      <t xml:space="preserve"> t C ha</t>
    </r>
    <r>
      <rPr>
        <vertAlign val="superscript"/>
        <sz val="11"/>
        <color rgb="FF000000"/>
        <rFont val="Calibri"/>
        <family val="2"/>
        <scheme val="minor"/>
      </rPr>
      <t>-1</t>
    </r>
  </si>
  <si>
    <t>long-term cultivated, cool temperate/boreal, moist</t>
  </si>
  <si>
    <t>full, all, dry and moist/wet</t>
  </si>
  <si>
    <t>medium, all, dry and moist/wet</t>
  </si>
  <si>
    <r>
      <t>F</t>
    </r>
    <r>
      <rPr>
        <b/>
        <vertAlign val="subscript"/>
        <sz val="11"/>
        <color rgb="FF000000"/>
        <rFont val="Calibri"/>
        <family val="2"/>
        <scheme val="minor"/>
      </rPr>
      <t>LU</t>
    </r>
  </si>
  <si>
    <r>
      <t xml:space="preserve">IPCC (2019) </t>
    </r>
    <r>
      <rPr>
        <i/>
        <sz val="11"/>
        <color rgb="FF000000"/>
        <rFont val="Calibri"/>
        <family val="2"/>
        <scheme val="minor"/>
      </rPr>
      <t>Chapter 5: Cropland</t>
    </r>
    <r>
      <rPr>
        <sz val="11"/>
        <color rgb="FF000000"/>
        <rFont val="Calibri"/>
        <family val="2"/>
        <scheme val="minor"/>
      </rPr>
      <t xml:space="preserve"> Table 5.5</t>
    </r>
  </si>
  <si>
    <r>
      <t>F</t>
    </r>
    <r>
      <rPr>
        <b/>
        <vertAlign val="subscript"/>
        <sz val="11"/>
        <color rgb="FF000000"/>
        <rFont val="Calibri"/>
        <family val="2"/>
        <scheme val="minor"/>
      </rPr>
      <t>MG</t>
    </r>
  </si>
  <si>
    <r>
      <t>F</t>
    </r>
    <r>
      <rPr>
        <b/>
        <vertAlign val="subscript"/>
        <sz val="11"/>
        <color rgb="FF000000"/>
        <rFont val="Calibri"/>
        <family val="2"/>
        <scheme val="minor"/>
      </rPr>
      <t>I</t>
    </r>
  </si>
  <si>
    <r>
      <t>SOC</t>
    </r>
    <r>
      <rPr>
        <b/>
        <vertAlign val="subscript"/>
        <sz val="11"/>
        <color rgb="FF000000"/>
        <rFont val="Calibri"/>
        <family val="2"/>
        <scheme val="minor"/>
      </rPr>
      <t>ref</t>
    </r>
  </si>
  <si>
    <r>
      <t xml:space="preserve">IPCC (2019) </t>
    </r>
    <r>
      <rPr>
        <i/>
        <sz val="11"/>
        <color rgb="FF000000"/>
        <rFont val="Calibri"/>
        <family val="2"/>
        <scheme val="minor"/>
      </rPr>
      <t>Chapter 2</t>
    </r>
    <r>
      <rPr>
        <sz val="11"/>
        <color rgb="FF000000"/>
        <rFont val="Calibri"/>
        <family val="2"/>
        <scheme val="minor"/>
      </rPr>
      <t xml:space="preserve"> Table 2.3</t>
    </r>
  </si>
  <si>
    <r>
      <t>SOC</t>
    </r>
    <r>
      <rPr>
        <vertAlign val="subscript"/>
        <sz val="8"/>
        <color rgb="FF000000"/>
        <rFont val="Arial"/>
        <family val="2"/>
      </rPr>
      <t>0</t>
    </r>
    <r>
      <rPr>
        <sz val="8"/>
        <color rgb="FF000000"/>
        <rFont val="Arial"/>
        <family val="2"/>
      </rPr>
      <t xml:space="preserve"> Arable crops =</t>
    </r>
  </si>
  <si>
    <r>
      <t>SOC</t>
    </r>
    <r>
      <rPr>
        <vertAlign val="subscript"/>
        <sz val="8"/>
        <color rgb="FF000000"/>
        <rFont val="Arial"/>
        <family val="2"/>
      </rPr>
      <t>0</t>
    </r>
    <r>
      <rPr>
        <sz val="8"/>
        <color rgb="FF000000"/>
        <rFont val="Arial"/>
        <family val="2"/>
      </rPr>
      <t xml:space="preserve"> Energy crops =</t>
    </r>
  </si>
  <si>
    <r>
      <t>SOC</t>
    </r>
    <r>
      <rPr>
        <vertAlign val="subscript"/>
        <sz val="8"/>
        <color rgb="FF000000"/>
        <rFont val="Arial"/>
        <family val="2"/>
      </rPr>
      <t>(0-T)</t>
    </r>
    <r>
      <rPr>
        <sz val="8"/>
        <color rgb="FF000000"/>
        <rFont val="Arial"/>
        <family val="2"/>
      </rPr>
      <t xml:space="preserve"> Arable crops =</t>
    </r>
  </si>
  <si>
    <r>
      <t>SOC</t>
    </r>
    <r>
      <rPr>
        <vertAlign val="subscript"/>
        <sz val="8"/>
        <color rgb="FF000000"/>
        <rFont val="Arial"/>
        <family val="2"/>
      </rPr>
      <t>(0-T)</t>
    </r>
    <r>
      <rPr>
        <sz val="8"/>
        <color rgb="FF000000"/>
        <rFont val="Arial"/>
        <family val="2"/>
      </rPr>
      <t xml:space="preserve"> Energy crops =</t>
    </r>
  </si>
  <si>
    <t>perennial/tree crop, temperate/boreal, dry and moist</t>
  </si>
  <si>
    <t>reduced, cool temperate/boreal, moist</t>
  </si>
  <si>
    <t>high without manure, temperate/boreal and tropical, moist/wet</t>
  </si>
  <si>
    <t>cool temperate moist, LAC</t>
  </si>
  <si>
    <r>
      <rPr>
        <sz val="10"/>
        <rFont val="Arial"/>
        <family val="2"/>
      </rPr>
      <t>Annex 2: Worksheets</t>
    </r>
  </si>
  <si>
    <r>
      <rPr>
        <sz val="10"/>
        <rFont val="Arial"/>
        <family val="2"/>
      </rPr>
      <t>2019 Refinement to the 2006 IPCC Guidelines for National Greenhouse Gas Inventories  A2.5</t>
    </r>
  </si>
  <si>
    <r>
      <rPr>
        <sz val="10"/>
        <rFont val="Arial"/>
        <family val="2"/>
      </rPr>
      <t>A2.4  2019 Refinement to the 2006 IPCC Guidelines for National Greenhouse Gas Inventories</t>
    </r>
  </si>
  <si>
    <t>Carbon stock change in litter pool</t>
  </si>
  <si>
    <r>
      <t>∆C</t>
    </r>
    <r>
      <rPr>
        <vertAlign val="subscript"/>
        <sz val="8"/>
        <color rgb="FF000000"/>
        <rFont val="Arial"/>
        <family val="2"/>
      </rPr>
      <t>DOM</t>
    </r>
    <r>
      <rPr>
        <sz val="8"/>
        <color rgb="FF000000"/>
        <rFont val="Arial"/>
        <family val="2"/>
      </rPr>
      <t xml:space="preserve"> =  annual change in carbon stock in litter pool (t C y</t>
    </r>
    <r>
      <rPr>
        <vertAlign val="superscript"/>
        <sz val="8"/>
        <color rgb="FF000000"/>
        <rFont val="Arial"/>
        <family val="2"/>
      </rPr>
      <t>-1</t>
    </r>
    <r>
      <rPr>
        <sz val="8"/>
        <color rgb="FF000000"/>
        <rFont val="Arial"/>
        <family val="2"/>
      </rPr>
      <t>)</t>
    </r>
  </si>
  <si>
    <r>
      <t>DOM</t>
    </r>
    <r>
      <rPr>
        <vertAlign val="subscript"/>
        <sz val="8"/>
        <color rgb="FF000000"/>
        <rFont val="Arial"/>
        <family val="2"/>
      </rPr>
      <t>t2</t>
    </r>
    <r>
      <rPr>
        <sz val="8"/>
        <color rgb="FF000000"/>
        <rFont val="Arial"/>
        <family val="2"/>
      </rPr>
      <t xml:space="preserve"> = litter stock at time t2 (t DM ha</t>
    </r>
    <r>
      <rPr>
        <vertAlign val="superscript"/>
        <sz val="8"/>
        <color rgb="FF000000"/>
        <rFont val="Arial"/>
        <family val="2"/>
      </rPr>
      <t>-1</t>
    </r>
    <r>
      <rPr>
        <sz val="8"/>
        <color rgb="FF000000"/>
        <rFont val="Arial"/>
        <family val="2"/>
      </rPr>
      <t>)</t>
    </r>
  </si>
  <si>
    <r>
      <t>DOM</t>
    </r>
    <r>
      <rPr>
        <vertAlign val="subscript"/>
        <sz val="8"/>
        <color rgb="FF000000"/>
        <rFont val="Arial"/>
        <family val="2"/>
      </rPr>
      <t>t1</t>
    </r>
    <r>
      <rPr>
        <sz val="8"/>
        <color rgb="FF000000"/>
        <rFont val="Arial"/>
        <family val="2"/>
      </rPr>
      <t xml:space="preserve"> = litter stock at time t1 (t DM ha</t>
    </r>
    <r>
      <rPr>
        <vertAlign val="superscript"/>
        <sz val="8"/>
        <color rgb="FF000000"/>
        <rFont val="Arial"/>
        <family val="2"/>
      </rPr>
      <t>-1</t>
    </r>
    <r>
      <rPr>
        <sz val="8"/>
        <color rgb="FF000000"/>
        <rFont val="Arial"/>
        <family val="2"/>
      </rPr>
      <t>)</t>
    </r>
  </si>
  <si>
    <t>Litter</t>
  </si>
  <si>
    <r>
      <t>t DM ha</t>
    </r>
    <r>
      <rPr>
        <vertAlign val="superscript"/>
        <sz val="11"/>
        <color rgb="FF000000"/>
        <rFont val="Calibri"/>
        <family val="2"/>
        <scheme val="minor"/>
      </rPr>
      <t>-1</t>
    </r>
    <r>
      <rPr>
        <sz val="11"/>
        <color rgb="FF000000"/>
        <rFont val="Calibri"/>
        <family val="2"/>
        <scheme val="minor"/>
      </rPr>
      <t xml:space="preserve"> y</t>
    </r>
    <r>
      <rPr>
        <vertAlign val="superscript"/>
        <sz val="11"/>
        <color rgb="FF000000"/>
        <rFont val="Calibri"/>
        <family val="2"/>
        <scheme val="minor"/>
      </rPr>
      <t>-1</t>
    </r>
  </si>
  <si>
    <r>
      <t xml:space="preserve">Hangs, R. D. </t>
    </r>
    <r>
      <rPr>
        <i/>
        <sz val="11"/>
        <color rgb="FF000000"/>
        <rFont val="Calibri"/>
        <family val="2"/>
        <scheme val="minor"/>
      </rPr>
      <t>et al.</t>
    </r>
    <r>
      <rPr>
        <sz val="11"/>
        <color rgb="FF000000"/>
        <rFont val="Calibri"/>
        <family val="2"/>
        <scheme val="minor"/>
      </rPr>
      <t xml:space="preserve"> (2014)</t>
    </r>
  </si>
  <si>
    <r>
      <t>∆C</t>
    </r>
    <r>
      <rPr>
        <b/>
        <vertAlign val="subscript"/>
        <sz val="8"/>
        <color rgb="FF000000"/>
        <rFont val="Arial"/>
        <family val="2"/>
      </rPr>
      <t>biomass</t>
    </r>
    <r>
      <rPr>
        <b/>
        <sz val="8"/>
        <color rgb="FF000000"/>
        <rFont val="Arial"/>
        <family val="2"/>
      </rPr>
      <t>(SRC) =</t>
    </r>
  </si>
  <si>
    <r>
      <t>∆C</t>
    </r>
    <r>
      <rPr>
        <b/>
        <vertAlign val="subscript"/>
        <sz val="8"/>
        <color rgb="FF000000"/>
        <rFont val="Arial"/>
        <family val="2"/>
      </rPr>
      <t>biomass</t>
    </r>
    <r>
      <rPr>
        <b/>
        <sz val="8"/>
        <color rgb="FF000000"/>
        <rFont val="Arial"/>
        <family val="2"/>
      </rPr>
      <t>(Miscanthus) =</t>
    </r>
  </si>
  <si>
    <r>
      <t>∆C</t>
    </r>
    <r>
      <rPr>
        <b/>
        <vertAlign val="subscript"/>
        <sz val="8"/>
        <color rgb="FF000000"/>
        <rFont val="Arial"/>
        <family val="2"/>
      </rPr>
      <t>biomass</t>
    </r>
    <r>
      <rPr>
        <b/>
        <sz val="8"/>
        <color rgb="FF000000"/>
        <rFont val="Arial"/>
        <family val="2"/>
      </rPr>
      <t>(Sida1-4y) =</t>
    </r>
  </si>
  <si>
    <r>
      <t>∆C</t>
    </r>
    <r>
      <rPr>
        <b/>
        <vertAlign val="subscript"/>
        <sz val="8"/>
        <color rgb="FF000000"/>
        <rFont val="Arial"/>
        <family val="2"/>
      </rPr>
      <t>biomass</t>
    </r>
    <r>
      <rPr>
        <b/>
        <sz val="8"/>
        <color rgb="FF000000"/>
        <rFont val="Arial"/>
        <family val="2"/>
      </rPr>
      <t>(Sida5-onwards) =</t>
    </r>
  </si>
  <si>
    <r>
      <t>∆C</t>
    </r>
    <r>
      <rPr>
        <b/>
        <vertAlign val="subscript"/>
        <sz val="8"/>
        <color rgb="FF000000"/>
        <rFont val="Arial"/>
        <family val="2"/>
      </rPr>
      <t>biomass</t>
    </r>
    <r>
      <rPr>
        <b/>
        <sz val="8"/>
        <color rgb="FF000000"/>
        <rFont val="Arial"/>
        <family val="2"/>
      </rPr>
      <t>(Silphium) =</t>
    </r>
  </si>
  <si>
    <r>
      <t>CO</t>
    </r>
    <r>
      <rPr>
        <b/>
        <vertAlign val="subscript"/>
        <sz val="8"/>
        <color rgb="FF000000"/>
        <rFont val="Arial"/>
        <family val="2"/>
      </rPr>
      <t>2</t>
    </r>
    <r>
      <rPr>
        <b/>
        <sz val="8"/>
        <color rgb="FF000000"/>
        <rFont val="Arial"/>
        <family val="2"/>
      </rPr>
      <t xml:space="preserve"> emissions</t>
    </r>
  </si>
  <si>
    <r>
      <t>∆C</t>
    </r>
    <r>
      <rPr>
        <b/>
        <vertAlign val="subscript"/>
        <sz val="8"/>
        <color theme="1"/>
        <rFont val="Arial"/>
        <family val="2"/>
      </rPr>
      <t>mineral</t>
    </r>
    <r>
      <rPr>
        <b/>
        <sz val="8"/>
        <color rgb="FF000000"/>
        <rFont val="Arial"/>
        <family val="2"/>
      </rPr>
      <t xml:space="preserve"> (arable) =  </t>
    </r>
  </si>
  <si>
    <r>
      <t>∆C</t>
    </r>
    <r>
      <rPr>
        <b/>
        <vertAlign val="subscript"/>
        <sz val="8"/>
        <color theme="1"/>
        <rFont val="Arial"/>
        <family val="2"/>
      </rPr>
      <t>mineral</t>
    </r>
    <r>
      <rPr>
        <b/>
        <sz val="8"/>
        <color rgb="FF000000"/>
        <rFont val="Arial"/>
        <family val="2"/>
      </rPr>
      <t xml:space="preserve"> (energy) =  </t>
    </r>
  </si>
  <si>
    <r>
      <t>∆C</t>
    </r>
    <r>
      <rPr>
        <b/>
        <vertAlign val="subscript"/>
        <sz val="8"/>
        <color rgb="FF000000"/>
        <rFont val="Arial"/>
        <family val="2"/>
      </rPr>
      <t xml:space="preserve">litter </t>
    </r>
    <r>
      <rPr>
        <b/>
        <sz val="8"/>
        <color rgb="FF000000"/>
        <rFont val="Arial"/>
        <family val="2"/>
      </rPr>
      <t>(SRC year 1) =</t>
    </r>
  </si>
  <si>
    <r>
      <t>∆C</t>
    </r>
    <r>
      <rPr>
        <b/>
        <vertAlign val="subscript"/>
        <sz val="8"/>
        <color rgb="FF000000"/>
        <rFont val="Arial"/>
        <family val="2"/>
      </rPr>
      <t xml:space="preserve">litter </t>
    </r>
    <r>
      <rPr>
        <b/>
        <sz val="8"/>
        <color rgb="FF000000"/>
        <rFont val="Arial"/>
        <family val="2"/>
      </rPr>
      <t>(SRC year 2) =</t>
    </r>
  </si>
  <si>
    <r>
      <t>∆C</t>
    </r>
    <r>
      <rPr>
        <b/>
        <vertAlign val="subscript"/>
        <sz val="8"/>
        <color rgb="FF000000"/>
        <rFont val="Arial"/>
        <family val="2"/>
      </rPr>
      <t xml:space="preserve">litter </t>
    </r>
    <r>
      <rPr>
        <b/>
        <sz val="8"/>
        <color rgb="FF000000"/>
        <rFont val="Arial"/>
        <family val="2"/>
      </rPr>
      <t>(SRC year 3) =</t>
    </r>
  </si>
  <si>
    <r>
      <t>∆C</t>
    </r>
    <r>
      <rPr>
        <b/>
        <vertAlign val="subscript"/>
        <sz val="8"/>
        <color rgb="FF000000"/>
        <rFont val="Arial"/>
        <family val="2"/>
      </rPr>
      <t xml:space="preserve">litter </t>
    </r>
    <r>
      <rPr>
        <b/>
        <sz val="8"/>
        <color rgb="FF000000"/>
        <rFont val="Arial"/>
        <family val="2"/>
      </rPr>
      <t>(SRC year 4) =</t>
    </r>
  </si>
  <si>
    <r>
      <t>∆C</t>
    </r>
    <r>
      <rPr>
        <b/>
        <vertAlign val="subscript"/>
        <sz val="8"/>
        <color rgb="FF000000"/>
        <rFont val="Arial"/>
        <family val="2"/>
      </rPr>
      <t xml:space="preserve">litter </t>
    </r>
    <r>
      <rPr>
        <b/>
        <sz val="8"/>
        <color rgb="FF000000"/>
        <rFont val="Arial"/>
        <family val="2"/>
      </rPr>
      <t>(Miscanthus year 1) =</t>
    </r>
  </si>
  <si>
    <r>
      <t>∆C</t>
    </r>
    <r>
      <rPr>
        <b/>
        <vertAlign val="subscript"/>
        <sz val="8"/>
        <color rgb="FF000000"/>
        <rFont val="Arial"/>
        <family val="2"/>
      </rPr>
      <t xml:space="preserve">litter </t>
    </r>
    <r>
      <rPr>
        <b/>
        <sz val="8"/>
        <color rgb="FF000000"/>
        <rFont val="Arial"/>
        <family val="2"/>
      </rPr>
      <t>(Miscanthus year 2) =</t>
    </r>
  </si>
  <si>
    <r>
      <t>∆C</t>
    </r>
    <r>
      <rPr>
        <b/>
        <vertAlign val="subscript"/>
        <sz val="8"/>
        <color rgb="FF000000"/>
        <rFont val="Arial"/>
        <family val="2"/>
      </rPr>
      <t xml:space="preserve">litter </t>
    </r>
    <r>
      <rPr>
        <b/>
        <sz val="8"/>
        <color rgb="FF000000"/>
        <rFont val="Arial"/>
        <family val="2"/>
      </rPr>
      <t>(Miscanthus year 3) =</t>
    </r>
  </si>
  <si>
    <r>
      <t>∆C</t>
    </r>
    <r>
      <rPr>
        <b/>
        <vertAlign val="subscript"/>
        <sz val="8"/>
        <color rgb="FF000000"/>
        <rFont val="Arial"/>
        <family val="2"/>
      </rPr>
      <t xml:space="preserve">litter </t>
    </r>
    <r>
      <rPr>
        <b/>
        <sz val="8"/>
        <color rgb="FF000000"/>
        <rFont val="Arial"/>
        <family val="2"/>
      </rPr>
      <t>(Miscanthus year 4 and onwards) =</t>
    </r>
  </si>
  <si>
    <r>
      <t>∆C</t>
    </r>
    <r>
      <rPr>
        <b/>
        <vertAlign val="subscript"/>
        <sz val="8"/>
        <color rgb="FF000000"/>
        <rFont val="Arial"/>
        <family val="2"/>
      </rPr>
      <t xml:space="preserve">litter </t>
    </r>
    <r>
      <rPr>
        <b/>
        <sz val="8"/>
        <color rgb="FF000000"/>
        <rFont val="Arial"/>
        <family val="2"/>
      </rPr>
      <t>(Sida year 1) =</t>
    </r>
  </si>
  <si>
    <r>
      <t>∆C</t>
    </r>
    <r>
      <rPr>
        <b/>
        <vertAlign val="subscript"/>
        <sz val="8"/>
        <color rgb="FF000000"/>
        <rFont val="Arial"/>
        <family val="2"/>
      </rPr>
      <t xml:space="preserve">litter </t>
    </r>
    <r>
      <rPr>
        <b/>
        <sz val="8"/>
        <color rgb="FF000000"/>
        <rFont val="Arial"/>
        <family val="2"/>
      </rPr>
      <t>(Sida year 2) =</t>
    </r>
  </si>
  <si>
    <r>
      <t>∆C</t>
    </r>
    <r>
      <rPr>
        <b/>
        <vertAlign val="subscript"/>
        <sz val="8"/>
        <color rgb="FF000000"/>
        <rFont val="Arial"/>
        <family val="2"/>
      </rPr>
      <t xml:space="preserve">litter </t>
    </r>
    <r>
      <rPr>
        <b/>
        <sz val="8"/>
        <color rgb="FF000000"/>
        <rFont val="Arial"/>
        <family val="2"/>
      </rPr>
      <t>(Sida year 3) =</t>
    </r>
  </si>
  <si>
    <r>
      <t>∆C</t>
    </r>
    <r>
      <rPr>
        <b/>
        <vertAlign val="subscript"/>
        <sz val="8"/>
        <color rgb="FF000000"/>
        <rFont val="Arial"/>
        <family val="2"/>
      </rPr>
      <t xml:space="preserve">litter </t>
    </r>
    <r>
      <rPr>
        <b/>
        <sz val="8"/>
        <color rgb="FF000000"/>
        <rFont val="Arial"/>
        <family val="2"/>
      </rPr>
      <t>(Sida year 4 and onwards) =</t>
    </r>
  </si>
  <si>
    <r>
      <t>∆C</t>
    </r>
    <r>
      <rPr>
        <b/>
        <vertAlign val="subscript"/>
        <sz val="8"/>
        <color rgb="FF000000"/>
        <rFont val="Arial"/>
        <family val="2"/>
      </rPr>
      <t xml:space="preserve">litter </t>
    </r>
    <r>
      <rPr>
        <b/>
        <sz val="8"/>
        <color rgb="FF000000"/>
        <rFont val="Arial"/>
        <family val="2"/>
      </rPr>
      <t>(Silphium year 1) =</t>
    </r>
  </si>
  <si>
    <r>
      <t>∆C</t>
    </r>
    <r>
      <rPr>
        <b/>
        <vertAlign val="subscript"/>
        <sz val="8"/>
        <color rgb="FF000000"/>
        <rFont val="Arial"/>
        <family val="2"/>
      </rPr>
      <t xml:space="preserve">litter </t>
    </r>
    <r>
      <rPr>
        <b/>
        <sz val="8"/>
        <color rgb="FF000000"/>
        <rFont val="Arial"/>
        <family val="2"/>
      </rPr>
      <t>(Silphium year 2) =</t>
    </r>
  </si>
  <si>
    <r>
      <t>∆C</t>
    </r>
    <r>
      <rPr>
        <b/>
        <vertAlign val="subscript"/>
        <sz val="8"/>
        <color rgb="FF000000"/>
        <rFont val="Arial"/>
        <family val="2"/>
      </rPr>
      <t xml:space="preserve">litter </t>
    </r>
    <r>
      <rPr>
        <b/>
        <sz val="8"/>
        <color rgb="FF000000"/>
        <rFont val="Arial"/>
        <family val="2"/>
      </rPr>
      <t>(Silphium year 3) =</t>
    </r>
  </si>
  <si>
    <r>
      <t>∆C</t>
    </r>
    <r>
      <rPr>
        <b/>
        <vertAlign val="subscript"/>
        <sz val="8"/>
        <color rgb="FF000000"/>
        <rFont val="Arial"/>
        <family val="2"/>
      </rPr>
      <t xml:space="preserve">litter </t>
    </r>
    <r>
      <rPr>
        <b/>
        <sz val="8"/>
        <color rgb="FF000000"/>
        <rFont val="Arial"/>
        <family val="2"/>
      </rPr>
      <t>(Silphium year 4) =</t>
    </r>
  </si>
  <si>
    <r>
      <t>∆C</t>
    </r>
    <r>
      <rPr>
        <b/>
        <vertAlign val="subscript"/>
        <sz val="8"/>
        <color rgb="FF000000"/>
        <rFont val="Arial"/>
        <family val="2"/>
      </rPr>
      <t xml:space="preserve">litter </t>
    </r>
    <r>
      <rPr>
        <b/>
        <sz val="8"/>
        <color rgb="FF000000"/>
        <rFont val="Arial"/>
        <family val="2"/>
      </rPr>
      <t>(Silphium year 5 and onwards) =</t>
    </r>
  </si>
  <si>
    <r>
      <t>∆C</t>
    </r>
    <r>
      <rPr>
        <b/>
        <vertAlign val="subscript"/>
        <sz val="8"/>
        <color rgb="FF000000"/>
        <rFont val="Arial"/>
        <family val="2"/>
      </rPr>
      <t>biomass</t>
    </r>
    <r>
      <rPr>
        <b/>
        <sz val="8"/>
        <color rgb="FF000000"/>
        <rFont val="Arial"/>
        <family val="2"/>
      </rPr>
      <t>(Sida) =</t>
    </r>
  </si>
  <si>
    <t xml:space="preserve"> (Table 11.1A)</t>
  </si>
  <si>
    <t>N2O-N inputs</t>
  </si>
  <si>
    <r>
      <t>N</t>
    </r>
    <r>
      <rPr>
        <vertAlign val="subscript"/>
        <sz val="8"/>
        <color rgb="FF000000"/>
        <rFont val="Arial"/>
        <family val="2"/>
      </rPr>
      <t>2</t>
    </r>
    <r>
      <rPr>
        <sz val="8"/>
        <color rgb="FF000000"/>
        <rFont val="Arial"/>
        <family val="2"/>
      </rPr>
      <t>O emissions</t>
    </r>
  </si>
  <si>
    <r>
      <t>SRCy</t>
    </r>
    <r>
      <rPr>
        <b/>
        <vertAlign val="subscript"/>
        <sz val="8"/>
        <color rgb="FF000000"/>
        <rFont val="Arial"/>
        <family val="2"/>
      </rPr>
      <t>1-y4</t>
    </r>
  </si>
  <si>
    <r>
      <t>SRCy</t>
    </r>
    <r>
      <rPr>
        <b/>
        <vertAlign val="subscript"/>
        <sz val="8"/>
        <color rgb="FF000000"/>
        <rFont val="Arial"/>
        <family val="2"/>
      </rPr>
      <t>5-onwards</t>
    </r>
  </si>
  <si>
    <t>SRcy5-onwards</t>
  </si>
  <si>
    <r>
      <t>F</t>
    </r>
    <r>
      <rPr>
        <vertAlign val="subscript"/>
        <sz val="8"/>
        <color rgb="FF000000"/>
        <rFont val="Arial"/>
        <family val="2"/>
      </rPr>
      <t>SN</t>
    </r>
  </si>
  <si>
    <r>
      <t>Frac</t>
    </r>
    <r>
      <rPr>
        <vertAlign val="subscript"/>
        <sz val="8"/>
        <color rgb="FF000000"/>
        <rFont val="Arial"/>
        <family val="2"/>
      </rPr>
      <t>GASF</t>
    </r>
  </si>
  <si>
    <r>
      <t>EF</t>
    </r>
    <r>
      <rPr>
        <vertAlign val="subscript"/>
        <sz val="8"/>
        <color rgb="FF000000"/>
        <rFont val="Arial"/>
        <family val="2"/>
      </rPr>
      <t>4</t>
    </r>
  </si>
  <si>
    <r>
      <t>N</t>
    </r>
    <r>
      <rPr>
        <vertAlign val="subscript"/>
        <sz val="8"/>
        <rFont val="Arial"/>
        <family val="2"/>
      </rPr>
      <t>2</t>
    </r>
    <r>
      <rPr>
        <sz val="8"/>
        <rFont val="Arial"/>
        <family val="2"/>
      </rPr>
      <t>O</t>
    </r>
    <r>
      <rPr>
        <vertAlign val="subscript"/>
        <sz val="8"/>
        <rFont val="Arial"/>
        <family val="2"/>
      </rPr>
      <t>(ATD)</t>
    </r>
    <r>
      <rPr>
        <sz val="8"/>
        <rFont val="Arial"/>
        <family val="2"/>
      </rPr>
      <t xml:space="preserve">N </t>
    </r>
  </si>
  <si>
    <r>
      <t>SRC</t>
    </r>
    <r>
      <rPr>
        <vertAlign val="subscript"/>
        <sz val="8"/>
        <rFont val="Arial"/>
        <family val="2"/>
      </rPr>
      <t>y1-y4</t>
    </r>
  </si>
  <si>
    <r>
      <t>SRc</t>
    </r>
    <r>
      <rPr>
        <vertAlign val="subscript"/>
        <sz val="8"/>
        <rFont val="Arial"/>
        <family val="2"/>
      </rPr>
      <t>y5-onwards</t>
    </r>
  </si>
  <si>
    <r>
      <t>F</t>
    </r>
    <r>
      <rPr>
        <vertAlign val="subscript"/>
        <sz val="8"/>
        <rFont val="Arial"/>
        <family val="2"/>
      </rPr>
      <t>SN</t>
    </r>
  </si>
  <si>
    <r>
      <t>F</t>
    </r>
    <r>
      <rPr>
        <vertAlign val="subscript"/>
        <sz val="8"/>
        <rFont val="Arial"/>
        <family val="2"/>
      </rPr>
      <t>CR</t>
    </r>
  </si>
  <si>
    <r>
      <t>F</t>
    </r>
    <r>
      <rPr>
        <vertAlign val="subscript"/>
        <sz val="8"/>
        <rFont val="Arial"/>
        <family val="2"/>
      </rPr>
      <t>SOM</t>
    </r>
  </si>
  <si>
    <r>
      <t>Frac</t>
    </r>
    <r>
      <rPr>
        <vertAlign val="subscript"/>
        <sz val="8"/>
        <rFont val="Arial"/>
        <family val="2"/>
      </rPr>
      <t>LEACH-(H)</t>
    </r>
  </si>
  <si>
    <r>
      <t>EF</t>
    </r>
    <r>
      <rPr>
        <vertAlign val="subscript"/>
        <sz val="8"/>
        <rFont val="Arial"/>
        <family val="2"/>
      </rPr>
      <t>5</t>
    </r>
  </si>
  <si>
    <r>
      <t>N</t>
    </r>
    <r>
      <rPr>
        <vertAlign val="subscript"/>
        <sz val="8"/>
        <rFont val="Arial"/>
        <family val="2"/>
      </rPr>
      <t>2</t>
    </r>
    <r>
      <rPr>
        <sz val="8"/>
        <rFont val="Arial"/>
        <family val="2"/>
      </rPr>
      <t>O</t>
    </r>
    <r>
      <rPr>
        <vertAlign val="subscript"/>
        <sz val="8"/>
        <rFont val="Arial"/>
        <family val="2"/>
      </rPr>
      <t>(L)</t>
    </r>
    <r>
      <rPr>
        <sz val="8"/>
        <rFont val="Arial"/>
        <family val="2"/>
      </rPr>
      <t>N</t>
    </r>
  </si>
  <si>
    <r>
      <t>N</t>
    </r>
    <r>
      <rPr>
        <b/>
        <vertAlign val="subscript"/>
        <sz val="8"/>
        <color rgb="FF000000"/>
        <rFont val="Arial"/>
        <family val="2"/>
      </rPr>
      <t>2</t>
    </r>
    <r>
      <rPr>
        <b/>
        <sz val="8"/>
        <color rgb="FF000000"/>
        <rFont val="Arial"/>
        <family val="2"/>
      </rPr>
      <t>O Emissions</t>
    </r>
  </si>
  <si>
    <r>
      <t>CO</t>
    </r>
    <r>
      <rPr>
        <b/>
        <vertAlign val="subscript"/>
        <sz val="8"/>
        <color rgb="FF000000"/>
        <rFont val="Arial"/>
        <family val="2"/>
      </rPr>
      <t>2</t>
    </r>
    <r>
      <rPr>
        <b/>
        <sz val="8"/>
        <color rgb="FF000000"/>
        <rFont val="Arial"/>
        <family val="2"/>
      </rPr>
      <t xml:space="preserve"> EMISSIONS</t>
    </r>
  </si>
  <si>
    <r>
      <t>Non-CO</t>
    </r>
    <r>
      <rPr>
        <b/>
        <vertAlign val="subscript"/>
        <sz val="8"/>
        <color rgb="FF000000"/>
        <rFont val="Arial"/>
        <family val="2"/>
      </rPr>
      <t>2</t>
    </r>
    <r>
      <rPr>
        <b/>
        <sz val="8"/>
        <color rgb="FF000000"/>
        <rFont val="Arial"/>
        <family val="2"/>
      </rPr>
      <t xml:space="preserve"> EMISSIONS</t>
    </r>
  </si>
  <si>
    <r>
      <t>1. Direct N</t>
    </r>
    <r>
      <rPr>
        <b/>
        <vertAlign val="subscript"/>
        <sz val="8"/>
        <color rgb="FF000000"/>
        <rFont val="Arial"/>
        <family val="2"/>
      </rPr>
      <t>2</t>
    </r>
    <r>
      <rPr>
        <b/>
        <sz val="8"/>
        <color rgb="FF000000"/>
        <rFont val="Arial"/>
        <family val="2"/>
      </rPr>
      <t>O emissions</t>
    </r>
  </si>
  <si>
    <r>
      <t>2. Indirect N</t>
    </r>
    <r>
      <rPr>
        <b/>
        <vertAlign val="subscript"/>
        <sz val="8"/>
        <color rgb="FF000000"/>
        <rFont val="Arial"/>
        <family val="2"/>
      </rPr>
      <t>2</t>
    </r>
    <r>
      <rPr>
        <b/>
        <sz val="8"/>
        <color rgb="FF000000"/>
        <rFont val="Arial"/>
        <family val="2"/>
      </rPr>
      <t>O emissions</t>
    </r>
  </si>
  <si>
    <r>
      <t>2.1. Indirect N</t>
    </r>
    <r>
      <rPr>
        <b/>
        <vertAlign val="subscript"/>
        <sz val="8"/>
        <color rgb="FF000000"/>
        <rFont val="Arial"/>
        <family val="2"/>
      </rPr>
      <t>2</t>
    </r>
    <r>
      <rPr>
        <b/>
        <sz val="8"/>
        <color rgb="FF000000"/>
        <rFont val="Arial"/>
        <family val="2"/>
      </rPr>
      <t>O emissions from N volatilisation</t>
    </r>
  </si>
  <si>
    <r>
      <t>2.1. Indirect N</t>
    </r>
    <r>
      <rPr>
        <b/>
        <vertAlign val="subscript"/>
        <sz val="8"/>
        <color rgb="FF000000"/>
        <rFont val="Arial"/>
        <family val="2"/>
      </rPr>
      <t>2</t>
    </r>
    <r>
      <rPr>
        <b/>
        <sz val="8"/>
        <color rgb="FF000000"/>
        <rFont val="Arial"/>
        <family val="2"/>
      </rPr>
      <t>O emissions from leaching/run off</t>
    </r>
  </si>
  <si>
    <r>
      <t>Frac</t>
    </r>
    <r>
      <rPr>
        <vertAlign val="subscript"/>
        <sz val="8"/>
        <color rgb="FF000000"/>
        <rFont val="Arial"/>
        <family val="2"/>
      </rPr>
      <t>remove(T)</t>
    </r>
  </si>
  <si>
    <r>
      <t>Frac</t>
    </r>
    <r>
      <rPr>
        <vertAlign val="subscript"/>
        <sz val="8"/>
        <color rgb="FF000000"/>
        <rFont val="Arial"/>
        <family val="2"/>
      </rPr>
      <t>renew(T)</t>
    </r>
  </si>
  <si>
    <r>
      <t>BGR</t>
    </r>
    <r>
      <rPr>
        <vertAlign val="subscript"/>
        <sz val="8"/>
        <color rgb="FF000000"/>
        <rFont val="Arial"/>
        <family val="2"/>
      </rPr>
      <t>(T)</t>
    </r>
  </si>
  <si>
    <t>A(0-T)</t>
  </si>
  <si>
    <t>∆CMineral</t>
  </si>
  <si>
    <t>Years</t>
  </si>
  <si>
    <r>
      <t>SOC</t>
    </r>
    <r>
      <rPr>
        <b/>
        <vertAlign val="subscript"/>
        <sz val="8"/>
        <rFont val="Arial"/>
        <family val="2"/>
      </rPr>
      <t>ref</t>
    </r>
  </si>
  <si>
    <r>
      <t>F</t>
    </r>
    <r>
      <rPr>
        <b/>
        <vertAlign val="subscript"/>
        <sz val="8"/>
        <rFont val="Arial"/>
        <family val="2"/>
      </rPr>
      <t>LU</t>
    </r>
  </si>
  <si>
    <r>
      <t>F</t>
    </r>
    <r>
      <rPr>
        <b/>
        <vertAlign val="subscript"/>
        <sz val="8"/>
        <rFont val="Arial"/>
        <family val="2"/>
      </rPr>
      <t>MG</t>
    </r>
  </si>
  <si>
    <r>
      <rPr>
        <b/>
        <sz val="8"/>
        <rFont val="Arial"/>
        <family val="2"/>
      </rPr>
      <t>FI</t>
    </r>
  </si>
  <si>
    <r>
      <rPr>
        <sz val="8"/>
        <rFont val="Arial"/>
        <family val="2"/>
      </rPr>
      <t>SOC(0-T)</t>
    </r>
  </si>
  <si>
    <r>
      <rPr>
        <sz val="8"/>
        <rFont val="Arial"/>
        <family val="2"/>
      </rPr>
      <t>SOC(0)</t>
    </r>
  </si>
  <si>
    <t>Greenhouse Gas Emissions Model developed under the SidaTim model by Dr Laura Cumplido-Marin and reviewed by Dr Adrian Williams, Dr Paul Burgess and Dr Anil Graves.</t>
  </si>
  <si>
    <t>*Disclaimer: The author is not responsible of any errors contained in the model, nor any further use of the model or any decisions made based on the results of the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</si>
</sst>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
    <numFmt numFmtId="165" formatCode="0.0"/>
    <numFmt numFmtId="166" formatCode="0.0%"/>
    <numFmt numFmtId="167" formatCode="#,##0.0"/>
    <numFmt numFmtId="168" formatCode="#,##0.000"/>
    <numFmt numFmtId="169" formatCode="0.00000"/>
    <numFmt numFmtId="170" formatCode="0.0000"/>
    <numFmt numFmtId="171" formatCode="0.000000"/>
    <numFmt numFmtId="172" formatCode="0.00000000"/>
    <numFmt numFmtId="173" formatCode="0.000E+00"/>
  </numFmts>
  <fonts count="81" x14ac:knownFonts="1">
    <font>
      <sz val="11"/>
      <color rgb="FF000000"/>
      <name val="Calibri"/>
    </font>
    <font>
      <sz val="11"/>
      <color theme="1"/>
      <name val="Arial"/>
      <family val="2"/>
    </font>
    <font>
      <sz val="11"/>
      <color theme="1"/>
      <name val="Arial"/>
      <family val="2"/>
    </font>
    <font>
      <sz val="10"/>
      <color rgb="FF000000"/>
      <name val="Times New Roman"/>
      <family val="1"/>
    </font>
    <font>
      <b/>
      <sz val="9"/>
      <color rgb="FF000000"/>
      <name val="Arial"/>
      <family val="2"/>
    </font>
    <font>
      <sz val="9"/>
      <color rgb="FF000000"/>
      <name val="Arial"/>
      <family val="2"/>
    </font>
    <font>
      <b/>
      <sz val="9"/>
      <name val="Arial"/>
      <family val="2"/>
    </font>
    <font>
      <sz val="9"/>
      <name val="Arial"/>
      <family val="2"/>
    </font>
    <font>
      <sz val="6"/>
      <name val="Arial"/>
      <family val="2"/>
    </font>
    <font>
      <vertAlign val="superscript"/>
      <sz val="9"/>
      <name val="Arial"/>
      <family val="2"/>
    </font>
    <font>
      <b/>
      <sz val="6"/>
      <name val="Arial"/>
      <family val="2"/>
    </font>
    <font>
      <vertAlign val="subscript"/>
      <sz val="9"/>
      <name val="Arial"/>
      <family val="2"/>
    </font>
    <font>
      <sz val="8"/>
      <color theme="1"/>
      <name val="Arial"/>
      <family val="2"/>
    </font>
    <font>
      <b/>
      <sz val="9"/>
      <color indexed="81"/>
      <name val="Tahoma"/>
      <family val="2"/>
    </font>
    <font>
      <sz val="9"/>
      <color indexed="81"/>
      <name val="Tahoma"/>
      <family val="2"/>
    </font>
    <font>
      <sz val="8"/>
      <color rgb="FF000000"/>
      <name val="Arial"/>
      <family val="2"/>
    </font>
    <font>
      <sz val="11"/>
      <color rgb="FF000000"/>
      <name val="Calibri"/>
      <family val="2"/>
    </font>
    <font>
      <sz val="8"/>
      <color rgb="FF000000"/>
      <name val="Calibri"/>
      <family val="2"/>
    </font>
    <font>
      <vertAlign val="subscript"/>
      <sz val="8"/>
      <color theme="1"/>
      <name val="Arial"/>
      <family val="2"/>
    </font>
    <font>
      <vertAlign val="superscript"/>
      <sz val="8"/>
      <color theme="1"/>
      <name val="Arial"/>
      <family val="2"/>
    </font>
    <font>
      <vertAlign val="subscript"/>
      <sz val="11"/>
      <color rgb="FF000000"/>
      <name val="Calibri"/>
      <family val="2"/>
    </font>
    <font>
      <vertAlign val="superscript"/>
      <sz val="11"/>
      <color rgb="FF000000"/>
      <name val="Calibri"/>
      <family val="2"/>
    </font>
    <font>
      <sz val="10"/>
      <color theme="1"/>
      <name val="Arial"/>
      <family val="2"/>
    </font>
    <font>
      <vertAlign val="subscript"/>
      <sz val="10"/>
      <color theme="1"/>
      <name val="Arial"/>
      <family val="2"/>
    </font>
    <font>
      <sz val="10"/>
      <color rgb="FF000000"/>
      <name val="Calibri"/>
      <family val="2"/>
    </font>
    <font>
      <b/>
      <sz val="11"/>
      <color rgb="FF000000"/>
      <name val="Calibri"/>
      <family val="2"/>
    </font>
    <font>
      <sz val="11"/>
      <name val="Arial"/>
      <family val="2"/>
    </font>
    <font>
      <sz val="8"/>
      <name val="Arial"/>
      <family val="2"/>
    </font>
    <font>
      <vertAlign val="subscript"/>
      <sz val="8"/>
      <name val="Arial"/>
      <family val="2"/>
    </font>
    <font>
      <vertAlign val="superscript"/>
      <sz val="8"/>
      <name val="Arial"/>
      <family val="2"/>
    </font>
    <font>
      <b/>
      <sz val="8"/>
      <color rgb="FF000000"/>
      <name val="Arial"/>
      <family val="2"/>
    </font>
    <font>
      <b/>
      <vertAlign val="superscript"/>
      <sz val="8"/>
      <color rgb="FF000000"/>
      <name val="Arial"/>
      <family val="2"/>
    </font>
    <font>
      <vertAlign val="subscript"/>
      <sz val="8"/>
      <color rgb="FF000000"/>
      <name val="Arial"/>
      <family val="2"/>
    </font>
    <font>
      <b/>
      <vertAlign val="subscript"/>
      <sz val="8"/>
      <color rgb="FF000000"/>
      <name val="Arial"/>
      <family val="2"/>
    </font>
    <font>
      <vertAlign val="superscript"/>
      <sz val="8"/>
      <color rgb="FF000000"/>
      <name val="Arial"/>
      <family val="2"/>
    </font>
    <font>
      <sz val="10"/>
      <color rgb="FF000000"/>
      <name val="Arial"/>
      <family val="2"/>
    </font>
    <font>
      <b/>
      <sz val="10"/>
      <color rgb="FF000000"/>
      <name val="Arial"/>
      <family val="2"/>
    </font>
    <font>
      <b/>
      <sz val="10"/>
      <name val="Arial"/>
      <family val="2"/>
    </font>
    <font>
      <sz val="10"/>
      <name val="Arial"/>
      <family val="2"/>
    </font>
    <font>
      <b/>
      <sz val="9.5"/>
      <color rgb="FF000000"/>
      <name val="Times New Roman"/>
      <family val="1"/>
    </font>
    <font>
      <b/>
      <sz val="8"/>
      <name val="Arial"/>
      <family val="2"/>
    </font>
    <font>
      <b/>
      <sz val="5"/>
      <name val="Arial"/>
      <family val="2"/>
    </font>
    <font>
      <sz val="5"/>
      <name val="Arial"/>
      <family val="2"/>
    </font>
    <font>
      <b/>
      <vertAlign val="superscript"/>
      <sz val="8"/>
      <name val="Arial"/>
      <family val="2"/>
    </font>
    <font>
      <sz val="9"/>
      <color rgb="FF000000"/>
      <name val="Times New Roman"/>
      <family val="1"/>
    </font>
    <font>
      <b/>
      <sz val="11"/>
      <color theme="1"/>
      <name val="Arial"/>
      <family val="2"/>
    </font>
    <font>
      <sz val="8"/>
      <color theme="6"/>
      <name val="Arial"/>
      <family val="2"/>
    </font>
    <font>
      <sz val="8"/>
      <color theme="1" tint="0.499984740745262"/>
      <name val="Arial"/>
      <family val="2"/>
    </font>
    <font>
      <sz val="11"/>
      <color theme="1"/>
      <name val="Calibri"/>
      <family val="2"/>
      <scheme val="minor"/>
    </font>
    <font>
      <sz val="11"/>
      <color rgb="FFC00000"/>
      <name val="Calibri"/>
      <family val="2"/>
      <scheme val="minor"/>
    </font>
    <font>
      <sz val="8"/>
      <color rgb="FFC00000"/>
      <name val="Calibri"/>
      <family val="2"/>
      <scheme val="minor"/>
    </font>
    <font>
      <sz val="8"/>
      <color theme="1"/>
      <name val="Calibri"/>
      <family val="2"/>
      <scheme val="minor"/>
    </font>
    <font>
      <b/>
      <sz val="8"/>
      <color indexed="17"/>
      <name val="Arial"/>
      <family val="2"/>
    </font>
    <font>
      <b/>
      <sz val="8"/>
      <color rgb="FFC00000"/>
      <name val="Arial"/>
      <family val="2"/>
    </font>
    <font>
      <b/>
      <vertAlign val="subscript"/>
      <sz val="8"/>
      <color indexed="17"/>
      <name val="Arial"/>
      <family val="2"/>
    </font>
    <font>
      <b/>
      <vertAlign val="superscript"/>
      <sz val="8"/>
      <color indexed="17"/>
      <name val="Arial"/>
      <family val="2"/>
    </font>
    <font>
      <b/>
      <sz val="10"/>
      <color indexed="17"/>
      <name val="Arial"/>
      <family val="2"/>
    </font>
    <font>
      <sz val="10"/>
      <color indexed="8"/>
      <name val="Arial"/>
      <family val="2"/>
    </font>
    <font>
      <sz val="8"/>
      <color indexed="8"/>
      <name val="Arial"/>
      <family val="2"/>
    </font>
    <font>
      <b/>
      <sz val="8"/>
      <color theme="1"/>
      <name val="Arial"/>
      <family val="2"/>
    </font>
    <font>
      <b/>
      <sz val="8"/>
      <color rgb="FF000000"/>
      <name val="Calibri"/>
      <family val="2"/>
    </font>
    <font>
      <sz val="5"/>
      <color rgb="FF000000"/>
      <name val="Arial"/>
      <family val="2"/>
    </font>
    <font>
      <vertAlign val="superscript"/>
      <sz val="5"/>
      <name val="Arial"/>
      <family val="2"/>
    </font>
    <font>
      <b/>
      <vertAlign val="subscript"/>
      <sz val="8"/>
      <name val="Arial"/>
      <family val="2"/>
    </font>
    <font>
      <b/>
      <vertAlign val="superscript"/>
      <sz val="9"/>
      <name val="Arial"/>
      <family val="2"/>
    </font>
    <font>
      <b/>
      <sz val="9"/>
      <color rgb="FF000000"/>
      <name val="Symbol"/>
      <family val="1"/>
      <charset val="2"/>
    </font>
    <font>
      <b/>
      <sz val="9"/>
      <name val="Symbol"/>
      <family val="1"/>
      <charset val="2"/>
    </font>
    <font>
      <b/>
      <vertAlign val="subscript"/>
      <sz val="9"/>
      <name val="Arial"/>
      <family val="2"/>
    </font>
    <font>
      <sz val="9"/>
      <color indexed="10"/>
      <name val="Tahoma"/>
      <family val="2"/>
    </font>
    <font>
      <b/>
      <sz val="8"/>
      <color rgb="FF000000"/>
      <name val="Arial"/>
    </font>
    <font>
      <b/>
      <vertAlign val="subscript"/>
      <sz val="8"/>
      <color rgb="FF000000"/>
      <name val="Arial"/>
    </font>
    <font>
      <b/>
      <vertAlign val="superscript"/>
      <sz val="8"/>
      <color rgb="FF000000"/>
      <name val="Arial"/>
    </font>
    <font>
      <b/>
      <vertAlign val="subscript"/>
      <sz val="8"/>
      <color rgb="FF000000"/>
      <name val="Calibri"/>
      <family val="2"/>
    </font>
    <font>
      <b/>
      <vertAlign val="superscript"/>
      <sz val="8"/>
      <color rgb="FF000000"/>
      <name val="Calibri"/>
      <family val="2"/>
    </font>
    <font>
      <b/>
      <vertAlign val="superscript"/>
      <sz val="11"/>
      <color rgb="FF000000"/>
      <name val="Calibri"/>
      <family val="2"/>
    </font>
    <font>
      <sz val="11"/>
      <color rgb="FF000000"/>
      <name val="Calibri"/>
      <family val="2"/>
      <scheme val="minor"/>
    </font>
    <font>
      <b/>
      <sz val="11"/>
      <color rgb="FF000000"/>
      <name val="Calibri"/>
      <family val="2"/>
      <scheme val="minor"/>
    </font>
    <font>
      <i/>
      <sz val="11"/>
      <color rgb="FF000000"/>
      <name val="Calibri"/>
      <family val="2"/>
      <scheme val="minor"/>
    </font>
    <font>
      <vertAlign val="superscript"/>
      <sz val="11"/>
      <color rgb="FF000000"/>
      <name val="Calibri"/>
      <family val="2"/>
      <scheme val="minor"/>
    </font>
    <font>
      <b/>
      <vertAlign val="subscript"/>
      <sz val="11"/>
      <color rgb="FF000000"/>
      <name val="Calibri"/>
      <family val="2"/>
      <scheme val="minor"/>
    </font>
    <font>
      <b/>
      <vertAlign val="subscript"/>
      <sz val="8"/>
      <color theme="1"/>
      <name val="Arial"/>
      <family val="2"/>
    </font>
  </fonts>
  <fills count="7">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theme="4" tint="0.59999389629810485"/>
        <bgColor indexed="64"/>
      </patternFill>
    </fill>
    <fill>
      <patternFill patternType="solid">
        <fgColor theme="4"/>
        <bgColor indexed="64"/>
      </patternFill>
    </fill>
    <fill>
      <patternFill patternType="solid">
        <fgColor theme="2" tint="-9.9978637043366805E-2"/>
        <bgColor indexed="64"/>
      </patternFill>
    </fill>
  </fills>
  <borders count="29">
    <border>
      <left/>
      <right/>
      <top/>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double">
        <color auto="1"/>
      </top>
      <bottom/>
      <diagonal/>
    </border>
    <border>
      <left/>
      <right style="thin">
        <color auto="1"/>
      </right>
      <top/>
      <bottom style="thin">
        <color auto="1"/>
      </bottom>
      <diagonal/>
    </border>
    <border>
      <left style="thin">
        <color auto="1"/>
      </left>
      <right/>
      <top/>
      <bottom style="double">
        <color auto="1"/>
      </bottom>
      <diagonal/>
    </border>
    <border>
      <left style="thin">
        <color auto="1"/>
      </left>
      <right style="thin">
        <color auto="1"/>
      </right>
      <top/>
      <bottom style="double">
        <color auto="1"/>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style="thin">
        <color auto="1"/>
      </right>
      <top style="thin">
        <color auto="1"/>
      </top>
      <bottom/>
      <diagonal/>
    </border>
    <border>
      <left style="thin">
        <color auto="1"/>
      </left>
      <right/>
      <top/>
      <bottom style="thin">
        <color auto="1"/>
      </bottom>
      <diagonal/>
    </border>
    <border>
      <left/>
      <right style="thick">
        <color auto="1"/>
      </right>
      <top/>
      <bottom style="thin">
        <color auto="1"/>
      </bottom>
      <diagonal/>
    </border>
    <border>
      <left/>
      <right style="thick">
        <color auto="1"/>
      </right>
      <top/>
      <bottom/>
      <diagonal/>
    </border>
    <border>
      <left/>
      <right style="thick">
        <color auto="1"/>
      </right>
      <top style="thin">
        <color auto="1"/>
      </top>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double">
        <color auto="1"/>
      </top>
      <bottom style="thin">
        <color auto="1"/>
      </bottom>
      <diagonal/>
    </border>
    <border>
      <left style="thin">
        <color auto="1"/>
      </left>
      <right/>
      <top style="thin">
        <color indexed="64"/>
      </top>
      <bottom style="double">
        <color auto="1"/>
      </bottom>
      <diagonal/>
    </border>
  </borders>
  <cellStyleXfs count="11">
    <xf numFmtId="0" fontId="0" fillId="0" borderId="0"/>
    <xf numFmtId="0" fontId="2" fillId="0" borderId="0"/>
    <xf numFmtId="0" fontId="1" fillId="0" borderId="0"/>
    <xf numFmtId="0" fontId="38" fillId="0" borderId="0"/>
    <xf numFmtId="1" fontId="38" fillId="0" borderId="0">
      <alignment horizontal="center"/>
    </xf>
    <xf numFmtId="0" fontId="48" fillId="0" borderId="0"/>
    <xf numFmtId="49" fontId="52" fillId="0" borderId="0">
      <alignment horizontal="center" vertical="center" wrapText="1"/>
    </xf>
    <xf numFmtId="0" fontId="56" fillId="0" borderId="0">
      <alignment horizontal="left" vertical="center"/>
    </xf>
    <xf numFmtId="166" fontId="37" fillId="0" borderId="0">
      <alignment horizontal="center"/>
    </xf>
    <xf numFmtId="9" fontId="38" fillId="0" borderId="0">
      <alignment horizontal="center"/>
    </xf>
    <xf numFmtId="167" fontId="57" fillId="0" borderId="0">
      <alignment horizontal="right" vertical="center"/>
    </xf>
  </cellStyleXfs>
  <cellXfs count="599">
    <xf numFmtId="0" fontId="0" fillId="0" borderId="0" xfId="0"/>
    <xf numFmtId="0" fontId="3" fillId="0" borderId="0" xfId="0" applyFont="1" applyAlignment="1">
      <alignment horizontal="left" vertical="top"/>
    </xf>
    <xf numFmtId="0" fontId="5" fillId="0" borderId="3" xfId="0" applyFont="1" applyBorder="1" applyAlignment="1">
      <alignment horizontal="left" vertical="top" wrapText="1" indent="2"/>
    </xf>
    <xf numFmtId="0" fontId="5" fillId="0" borderId="3" xfId="0" applyFont="1" applyBorder="1" applyAlignment="1">
      <alignment horizontal="right" vertical="center" wrapText="1" indent="1"/>
    </xf>
    <xf numFmtId="0" fontId="5" fillId="0" borderId="3" xfId="0" applyFont="1" applyBorder="1" applyAlignment="1">
      <alignment horizontal="right" vertical="top" wrapText="1" indent="1"/>
    </xf>
    <xf numFmtId="0" fontId="4" fillId="0" borderId="1" xfId="0" applyFont="1" applyBorder="1" applyAlignment="1">
      <alignment horizontal="right" vertical="center" wrapText="1" indent="3"/>
    </xf>
    <xf numFmtId="0" fontId="5" fillId="0" borderId="2" xfId="0" applyFont="1" applyBorder="1" applyAlignment="1">
      <alignment horizontal="left" vertical="center" wrapText="1" indent="1"/>
    </xf>
    <xf numFmtId="2" fontId="15" fillId="0" borderId="3" xfId="0" applyNumberFormat="1" applyFont="1" applyBorder="1" applyAlignment="1">
      <alignment horizontal="center" vertical="center" wrapText="1"/>
    </xf>
    <xf numFmtId="0" fontId="4" fillId="0" borderId="4" xfId="0" applyFont="1" applyBorder="1" applyAlignment="1">
      <alignment horizontal="right" vertical="center" wrapText="1"/>
    </xf>
    <xf numFmtId="0" fontId="16" fillId="0" borderId="0" xfId="0" applyFont="1"/>
    <xf numFmtId="2" fontId="15" fillId="0" borderId="9" xfId="0" applyNumberFormat="1" applyFont="1" applyBorder="1" applyAlignment="1">
      <alignment horizontal="center" vertical="center" wrapText="1"/>
    </xf>
    <xf numFmtId="0" fontId="17" fillId="0" borderId="0" xfId="0" applyFont="1"/>
    <xf numFmtId="0" fontId="12" fillId="0" borderId="0" xfId="1" applyFont="1"/>
    <xf numFmtId="0" fontId="15" fillId="0" borderId="0" xfId="0" applyFont="1"/>
    <xf numFmtId="164" fontId="0" fillId="0" borderId="0" xfId="0" applyNumberFormat="1"/>
    <xf numFmtId="2" fontId="0" fillId="0" borderId="0" xfId="0" applyNumberFormat="1"/>
    <xf numFmtId="0" fontId="22" fillId="0" borderId="0" xfId="1" applyFont="1"/>
    <xf numFmtId="164" fontId="15" fillId="0" borderId="2" xfId="0" applyNumberFormat="1" applyFont="1" applyBorder="1" applyAlignment="1">
      <alignment horizontal="center" vertical="center" wrapText="1"/>
    </xf>
    <xf numFmtId="0" fontId="25" fillId="0" borderId="0" xfId="0" applyFont="1"/>
    <xf numFmtId="164" fontId="15" fillId="0" borderId="9" xfId="0" applyNumberFormat="1" applyFont="1" applyBorder="1" applyAlignment="1">
      <alignment horizontal="center" vertical="center" wrapText="1"/>
    </xf>
    <xf numFmtId="0" fontId="0" fillId="0" borderId="1" xfId="0" applyBorder="1" applyAlignment="1">
      <alignment horizontal="left" vertical="top" wrapText="1"/>
    </xf>
    <xf numFmtId="0" fontId="5" fillId="0" borderId="4" xfId="0" applyFont="1" applyBorder="1" applyAlignment="1">
      <alignment horizontal="left" vertical="center" wrapText="1" indent="1"/>
    </xf>
    <xf numFmtId="0" fontId="5" fillId="0" borderId="11" xfId="0" applyFont="1" applyBorder="1" applyAlignment="1">
      <alignment horizontal="left" vertical="center" wrapText="1" indent="1"/>
    </xf>
    <xf numFmtId="0" fontId="5" fillId="0" borderId="12" xfId="0" applyFont="1" applyBorder="1" applyAlignment="1">
      <alignment horizontal="left" vertical="center" wrapText="1" indent="1"/>
    </xf>
    <xf numFmtId="0" fontId="30" fillId="0" borderId="0" xfId="0" applyFont="1"/>
    <xf numFmtId="0" fontId="15" fillId="0" borderId="0" xfId="0" applyFont="1" applyAlignment="1">
      <alignment horizontal="left" vertical="center"/>
    </xf>
    <xf numFmtId="165" fontId="15" fillId="0" borderId="2" xfId="0" applyNumberFormat="1" applyFont="1" applyBorder="1" applyAlignment="1">
      <alignment horizontal="center" vertical="center" wrapText="1"/>
    </xf>
    <xf numFmtId="0" fontId="39" fillId="0" borderId="0" xfId="0" applyFont="1" applyAlignment="1">
      <alignment horizontal="left" vertical="top"/>
    </xf>
    <xf numFmtId="0" fontId="25" fillId="0" borderId="3" xfId="0" applyFont="1" applyBorder="1" applyAlignment="1">
      <alignment horizontal="left" vertical="top" wrapText="1"/>
    </xf>
    <xf numFmtId="0" fontId="15" fillId="0" borderId="3" xfId="0" applyFont="1" applyBorder="1" applyAlignment="1">
      <alignment horizontal="left" vertical="center" wrapText="1" indent="1"/>
    </xf>
    <xf numFmtId="0" fontId="1" fillId="0" borderId="0" xfId="2"/>
    <xf numFmtId="0" fontId="26" fillId="0" borderId="0" xfId="2" applyFont="1"/>
    <xf numFmtId="0" fontId="1" fillId="0" borderId="0" xfId="2" applyAlignment="1">
      <alignment horizontal="right"/>
    </xf>
    <xf numFmtId="0" fontId="27" fillId="0" borderId="0" xfId="2" applyFont="1"/>
    <xf numFmtId="0" fontId="12" fillId="0" borderId="0" xfId="2" applyFont="1"/>
    <xf numFmtId="0" fontId="12" fillId="0" borderId="0" xfId="2" applyFont="1" applyAlignment="1">
      <alignment horizontal="right"/>
    </xf>
    <xf numFmtId="0" fontId="27" fillId="0" borderId="3" xfId="2" applyFont="1" applyBorder="1"/>
    <xf numFmtId="0" fontId="12" fillId="0" borderId="3" xfId="2" applyFont="1" applyBorder="1"/>
    <xf numFmtId="0" fontId="12" fillId="0" borderId="3" xfId="2" applyFont="1" applyBorder="1" applyAlignment="1">
      <alignment horizontal="right"/>
    </xf>
    <xf numFmtId="0" fontId="27" fillId="0" borderId="3" xfId="3" applyFont="1" applyBorder="1"/>
    <xf numFmtId="1" fontId="27" fillId="0" borderId="8" xfId="4" applyFont="1" applyBorder="1">
      <alignment horizontal="center"/>
    </xf>
    <xf numFmtId="0" fontId="27" fillId="0" borderId="8" xfId="3" applyFont="1" applyBorder="1"/>
    <xf numFmtId="0" fontId="27" fillId="0" borderId="13" xfId="2" applyFont="1" applyBorder="1"/>
    <xf numFmtId="0" fontId="27" fillId="0" borderId="13" xfId="3" applyFont="1" applyBorder="1"/>
    <xf numFmtId="2" fontId="12" fillId="0" borderId="13" xfId="2" applyNumberFormat="1" applyFont="1" applyBorder="1" applyAlignment="1">
      <alignment horizontal="right" vertical="center"/>
    </xf>
    <xf numFmtId="0" fontId="27" fillId="0" borderId="4" xfId="2" applyFont="1" applyBorder="1"/>
    <xf numFmtId="0" fontId="27" fillId="0" borderId="4" xfId="3" applyFont="1" applyBorder="1"/>
    <xf numFmtId="2" fontId="27" fillId="0" borderId="4" xfId="4" applyNumberFormat="1" applyFont="1" applyBorder="1" applyAlignment="1">
      <alignment horizontal="right"/>
    </xf>
    <xf numFmtId="0" fontId="27" fillId="0" borderId="8" xfId="2" applyFont="1" applyBorder="1" applyAlignment="1">
      <alignment horizontal="right"/>
    </xf>
    <xf numFmtId="0" fontId="27" fillId="0" borderId="13" xfId="2" applyFont="1" applyBorder="1" applyAlignment="1">
      <alignment horizontal="right"/>
    </xf>
    <xf numFmtId="165" fontId="12" fillId="0" borderId="13" xfId="2" applyNumberFormat="1" applyFont="1" applyBorder="1" applyAlignment="1">
      <alignment horizontal="right" vertical="center"/>
    </xf>
    <xf numFmtId="165" fontId="12" fillId="0" borderId="0" xfId="2" applyNumberFormat="1" applyFont="1" applyAlignment="1">
      <alignment horizontal="right"/>
    </xf>
    <xf numFmtId="0" fontId="27" fillId="0" borderId="0" xfId="3" applyFont="1"/>
    <xf numFmtId="165" fontId="12" fillId="0" borderId="13" xfId="2" applyNumberFormat="1" applyFont="1" applyBorder="1" applyAlignment="1">
      <alignment horizontal="right"/>
    </xf>
    <xf numFmtId="0" fontId="12" fillId="0" borderId="8" xfId="2" applyFont="1" applyBorder="1"/>
    <xf numFmtId="0" fontId="46" fillId="0" borderId="8" xfId="2" applyFont="1" applyBorder="1" applyAlignment="1">
      <alignment horizontal="right"/>
    </xf>
    <xf numFmtId="0" fontId="12" fillId="0" borderId="13" xfId="2" applyFont="1" applyBorder="1"/>
    <xf numFmtId="0" fontId="46" fillId="0" borderId="13" xfId="2" applyFont="1" applyBorder="1" applyAlignment="1">
      <alignment horizontal="right"/>
    </xf>
    <xf numFmtId="0" fontId="12" fillId="0" borderId="13" xfId="2" applyFont="1" applyBorder="1" applyAlignment="1">
      <alignment horizontal="right"/>
    </xf>
    <xf numFmtId="0" fontId="47" fillId="0" borderId="13" xfId="2" applyFont="1" applyBorder="1" applyAlignment="1">
      <alignment horizontal="right"/>
    </xf>
    <xf numFmtId="0" fontId="12" fillId="0" borderId="4" xfId="2" applyFont="1" applyBorder="1"/>
    <xf numFmtId="0" fontId="49" fillId="0" borderId="0" xfId="5" applyFont="1"/>
    <xf numFmtId="0" fontId="48" fillId="0" borderId="0" xfId="5"/>
    <xf numFmtId="0" fontId="50" fillId="0" borderId="0" xfId="5" applyFont="1"/>
    <xf numFmtId="0" fontId="51" fillId="0" borderId="0" xfId="5" applyFont="1"/>
    <xf numFmtId="49" fontId="53" fillId="0" borderId="0" xfId="6" applyFont="1">
      <alignment horizontal="center" vertical="center" wrapText="1"/>
    </xf>
    <xf numFmtId="49" fontId="52" fillId="0" borderId="0" xfId="6">
      <alignment horizontal="center" vertical="center" wrapText="1"/>
    </xf>
    <xf numFmtId="49" fontId="52" fillId="2" borderId="0" xfId="6" applyFill="1">
      <alignment horizontal="center" vertical="center" wrapText="1"/>
    </xf>
    <xf numFmtId="49" fontId="52" fillId="3" borderId="0" xfId="6" applyFill="1">
      <alignment horizontal="center" vertical="center" wrapText="1"/>
    </xf>
    <xf numFmtId="0" fontId="50" fillId="0" borderId="0" xfId="5" applyFont="1" applyAlignment="1">
      <alignment vertical="center"/>
    </xf>
    <xf numFmtId="0" fontId="52" fillId="0" borderId="0" xfId="7" applyFont="1">
      <alignment horizontal="left" vertical="center"/>
    </xf>
    <xf numFmtId="0" fontId="51" fillId="0" borderId="0" xfId="5" applyFont="1" applyAlignment="1">
      <alignment vertical="center"/>
    </xf>
    <xf numFmtId="0" fontId="48" fillId="0" borderId="0" xfId="5" applyAlignment="1">
      <alignment vertical="center"/>
    </xf>
    <xf numFmtId="166" fontId="27" fillId="0" borderId="0" xfId="9" applyNumberFormat="1" applyFont="1">
      <alignment horizontal="center"/>
    </xf>
    <xf numFmtId="10" fontId="27" fillId="0" borderId="0" xfId="9" applyNumberFormat="1" applyFont="1">
      <alignment horizontal="center"/>
    </xf>
    <xf numFmtId="0" fontId="38" fillId="0" borderId="0" xfId="3"/>
    <xf numFmtId="3" fontId="58" fillId="0" borderId="0" xfId="10" applyNumberFormat="1" applyFont="1">
      <alignment horizontal="right" vertical="center"/>
    </xf>
    <xf numFmtId="168" fontId="58" fillId="0" borderId="0" xfId="10" applyNumberFormat="1" applyFont="1">
      <alignment horizontal="right" vertical="center"/>
    </xf>
    <xf numFmtId="9" fontId="27" fillId="0" borderId="0" xfId="9" applyFont="1">
      <alignment horizontal="center"/>
    </xf>
    <xf numFmtId="167" fontId="58" fillId="0" borderId="0" xfId="10" applyFont="1">
      <alignment horizontal="right" vertical="center"/>
    </xf>
    <xf numFmtId="0" fontId="22" fillId="0" borderId="0" xfId="2" applyFont="1"/>
    <xf numFmtId="0" fontId="12" fillId="0" borderId="0" xfId="2" applyFont="1" applyAlignment="1">
      <alignment horizontal="right" vertical="center"/>
    </xf>
    <xf numFmtId="0" fontId="12" fillId="0" borderId="0" xfId="2" applyFont="1" applyAlignment="1">
      <alignment vertical="center"/>
    </xf>
    <xf numFmtId="0" fontId="27" fillId="0" borderId="0" xfId="2" applyFont="1" applyAlignment="1">
      <alignment horizontal="right" vertical="center" wrapText="1"/>
    </xf>
    <xf numFmtId="2" fontId="12" fillId="0" borderId="0" xfId="2" applyNumberFormat="1" applyFont="1"/>
    <xf numFmtId="165" fontId="27" fillId="0" borderId="0" xfId="2" applyNumberFormat="1" applyFont="1" applyAlignment="1">
      <alignment vertical="center"/>
    </xf>
    <xf numFmtId="0" fontId="1" fillId="0" borderId="0" xfId="2" applyAlignment="1">
      <alignment horizontal="center"/>
    </xf>
    <xf numFmtId="0" fontId="12" fillId="0" borderId="0" xfId="2" applyFont="1" applyAlignment="1">
      <alignment vertical="center" wrapText="1"/>
    </xf>
    <xf numFmtId="11" fontId="12" fillId="0" borderId="0" xfId="2" applyNumberFormat="1" applyFont="1"/>
    <xf numFmtId="165" fontId="12" fillId="0" borderId="0" xfId="2" applyNumberFormat="1" applyFont="1"/>
    <xf numFmtId="0" fontId="59" fillId="0" borderId="0" xfId="2" applyFont="1"/>
    <xf numFmtId="2" fontId="59" fillId="0" borderId="0" xfId="2" applyNumberFormat="1" applyFont="1"/>
    <xf numFmtId="0" fontId="59" fillId="0" borderId="0" xfId="2" applyFont="1" applyAlignment="1">
      <alignment vertical="center"/>
    </xf>
    <xf numFmtId="0" fontId="12" fillId="0" borderId="14" xfId="2" applyFont="1" applyBorder="1"/>
    <xf numFmtId="0" fontId="12" fillId="0" borderId="15" xfId="2" applyFont="1" applyBorder="1" applyAlignment="1">
      <alignment horizontal="right" vertical="center" wrapText="1"/>
    </xf>
    <xf numFmtId="0" fontId="27" fillId="0" borderId="15" xfId="2" applyFont="1" applyBorder="1" applyAlignment="1">
      <alignment horizontal="right" vertical="center" wrapText="1"/>
    </xf>
    <xf numFmtId="0" fontId="12" fillId="0" borderId="15" xfId="2" applyFont="1" applyBorder="1"/>
    <xf numFmtId="0" fontId="59" fillId="0" borderId="0" xfId="2" applyFont="1" applyAlignment="1">
      <alignment vertical="top"/>
    </xf>
    <xf numFmtId="0" fontId="12" fillId="0" borderId="14" xfId="2" applyFont="1" applyBorder="1" applyAlignment="1">
      <alignment vertical="center"/>
    </xf>
    <xf numFmtId="0" fontId="12" fillId="0" borderId="14" xfId="2" applyFont="1" applyBorder="1" applyAlignment="1">
      <alignment horizontal="right" vertical="center"/>
    </xf>
    <xf numFmtId="0" fontId="1" fillId="0" borderId="14" xfId="2" applyBorder="1" applyAlignment="1">
      <alignment horizontal="center"/>
    </xf>
    <xf numFmtId="2" fontId="12" fillId="0" borderId="14" xfId="2" applyNumberFormat="1" applyFont="1" applyBorder="1"/>
    <xf numFmtId="0" fontId="1" fillId="0" borderId="14" xfId="2" applyBorder="1"/>
    <xf numFmtId="0" fontId="1" fillId="0" borderId="15" xfId="2" applyBorder="1"/>
    <xf numFmtId="0" fontId="0" fillId="0" borderId="6" xfId="0" applyBorder="1"/>
    <xf numFmtId="0" fontId="30" fillId="0" borderId="6" xfId="0" applyFont="1" applyBorder="1" applyAlignment="1">
      <alignment horizontal="right" vertical="center"/>
    </xf>
    <xf numFmtId="0" fontId="25" fillId="0" borderId="14" xfId="0" applyFont="1" applyBorder="1"/>
    <xf numFmtId="0" fontId="59" fillId="0" borderId="14" xfId="2" applyFont="1" applyBorder="1" applyAlignment="1">
      <alignment vertical="center"/>
    </xf>
    <xf numFmtId="0" fontId="59" fillId="0" borderId="14" xfId="2" applyFont="1" applyBorder="1" applyAlignment="1">
      <alignment horizontal="right" vertical="center" wrapText="1"/>
    </xf>
    <xf numFmtId="0" fontId="30" fillId="0" borderId="14" xfId="0" applyFont="1" applyBorder="1"/>
    <xf numFmtId="0" fontId="0" fillId="0" borderId="15" xfId="0" applyBorder="1"/>
    <xf numFmtId="0" fontId="12" fillId="0" borderId="6" xfId="2" applyFont="1" applyBorder="1" applyAlignment="1">
      <alignment vertical="center"/>
    </xf>
    <xf numFmtId="0" fontId="12" fillId="0" borderId="6" xfId="2" applyFont="1" applyBorder="1" applyAlignment="1">
      <alignment horizontal="right" vertical="center"/>
    </xf>
    <xf numFmtId="0" fontId="1" fillId="0" borderId="6" xfId="2" applyBorder="1" applyAlignment="1">
      <alignment horizontal="center"/>
    </xf>
    <xf numFmtId="0" fontId="12" fillId="0" borderId="6" xfId="2" applyFont="1" applyBorder="1"/>
    <xf numFmtId="2" fontId="12" fillId="0" borderId="6" xfId="2" applyNumberFormat="1" applyFont="1" applyBorder="1"/>
    <xf numFmtId="0" fontId="59" fillId="0" borderId="14" xfId="2" applyFont="1" applyBorder="1"/>
    <xf numFmtId="0" fontId="59" fillId="0" borderId="14" xfId="2" applyFont="1" applyBorder="1" applyAlignment="1">
      <alignment horizontal="right" vertical="center"/>
    </xf>
    <xf numFmtId="0" fontId="45" fillId="0" borderId="14" xfId="2" applyFont="1" applyBorder="1" applyAlignment="1">
      <alignment horizontal="center"/>
    </xf>
    <xf numFmtId="0" fontId="59" fillId="0" borderId="14" xfId="2" applyFont="1" applyBorder="1" applyAlignment="1">
      <alignment vertical="center" wrapText="1"/>
    </xf>
    <xf numFmtId="0" fontId="27" fillId="0" borderId="3" xfId="0" applyFont="1" applyBorder="1" applyAlignment="1">
      <alignment horizontal="center" vertical="top" wrapText="1"/>
    </xf>
    <xf numFmtId="11" fontId="15" fillId="0" borderId="3" xfId="0" applyNumberFormat="1" applyFont="1" applyBorder="1" applyAlignment="1">
      <alignment horizontal="center" vertical="center" wrapText="1"/>
    </xf>
    <xf numFmtId="0" fontId="27" fillId="0" borderId="4" xfId="0" applyFont="1" applyBorder="1" applyAlignment="1">
      <alignment horizontal="right" vertical="center" wrapText="1" indent="1"/>
    </xf>
    <xf numFmtId="0" fontId="27" fillId="0" borderId="8" xfId="0" applyFont="1" applyBorder="1" applyAlignment="1">
      <alignment horizontal="right" vertical="center" wrapText="1" indent="1"/>
    </xf>
    <xf numFmtId="0" fontId="0" fillId="0" borderId="0" xfId="0" applyAlignment="1">
      <alignment horizontal="left" vertical="top" wrapText="1"/>
    </xf>
    <xf numFmtId="0" fontId="30" fillId="0" borderId="0" xfId="0" applyFont="1" applyAlignment="1">
      <alignment horizontal="right"/>
    </xf>
    <xf numFmtId="0" fontId="15" fillId="0" borderId="0" xfId="0" applyFont="1" applyAlignment="1">
      <alignment horizontal="right"/>
    </xf>
    <xf numFmtId="2" fontId="15" fillId="0" borderId="0" xfId="0" applyNumberFormat="1" applyFont="1"/>
    <xf numFmtId="2" fontId="15" fillId="0" borderId="0" xfId="0" applyNumberFormat="1" applyFont="1" applyAlignment="1">
      <alignment horizontal="right"/>
    </xf>
    <xf numFmtId="2" fontId="15" fillId="0" borderId="13" xfId="0" applyNumberFormat="1" applyFont="1" applyBorder="1" applyAlignment="1">
      <alignment horizontal="center" vertical="center" wrapText="1"/>
    </xf>
    <xf numFmtId="2" fontId="15" fillId="0" borderId="8" xfId="0" applyNumberFormat="1" applyFont="1" applyBorder="1" applyAlignment="1">
      <alignment horizontal="center" vertical="center" wrapText="1"/>
    </xf>
    <xf numFmtId="0" fontId="15" fillId="0" borderId="13" xfId="0" applyFont="1" applyBorder="1" applyAlignment="1">
      <alignment horizontal="center" vertical="center" wrapText="1"/>
    </xf>
    <xf numFmtId="0" fontId="15" fillId="0" borderId="8" xfId="0" applyFont="1" applyBorder="1" applyAlignment="1">
      <alignment horizontal="center" vertical="center" wrapText="1"/>
    </xf>
    <xf numFmtId="164" fontId="15" fillId="0" borderId="13" xfId="0" applyNumberFormat="1" applyFont="1" applyBorder="1" applyAlignment="1">
      <alignment horizontal="center" vertical="center" wrapText="1"/>
    </xf>
    <xf numFmtId="164" fontId="15" fillId="0" borderId="8" xfId="0" applyNumberFormat="1" applyFont="1" applyBorder="1" applyAlignment="1">
      <alignment horizontal="center" vertical="center" wrapText="1"/>
    </xf>
    <xf numFmtId="0" fontId="17" fillId="0" borderId="3" xfId="0" applyFont="1" applyBorder="1" applyAlignment="1">
      <alignment horizontal="left" vertical="top" wrapText="1"/>
    </xf>
    <xf numFmtId="0" fontId="15" fillId="0" borderId="0" xfId="0" applyFont="1" applyAlignment="1">
      <alignment horizontal="center"/>
    </xf>
    <xf numFmtId="0" fontId="15" fillId="0" borderId="3" xfId="0" applyFont="1" applyBorder="1" applyAlignment="1">
      <alignment horizontal="left" vertical="top" wrapText="1"/>
    </xf>
    <xf numFmtId="0" fontId="15" fillId="0" borderId="14" xfId="0" applyFont="1" applyBorder="1"/>
    <xf numFmtId="2" fontId="15" fillId="0" borderId="14" xfId="0" applyNumberFormat="1" applyFont="1" applyBorder="1"/>
    <xf numFmtId="1" fontId="15" fillId="0" borderId="2" xfId="0" applyNumberFormat="1" applyFont="1" applyBorder="1" applyAlignment="1">
      <alignment horizontal="center" vertical="center" wrapText="1"/>
    </xf>
    <xf numFmtId="0" fontId="65" fillId="0" borderId="1" xfId="0" applyFont="1" applyBorder="1" applyAlignment="1">
      <alignment horizontal="center" vertical="center" wrapText="1"/>
    </xf>
    <xf numFmtId="0" fontId="27" fillId="0" borderId="14" xfId="2" applyFont="1" applyBorder="1"/>
    <xf numFmtId="0" fontId="27" fillId="0" borderId="3" xfId="0" applyFont="1" applyBorder="1" applyAlignment="1">
      <alignment horizontal="left" vertical="top" wrapText="1" indent="2"/>
    </xf>
    <xf numFmtId="0" fontId="27" fillId="0" borderId="13" xfId="0" applyFont="1" applyBorder="1" applyAlignment="1">
      <alignment horizontal="right" vertical="center" wrapText="1" indent="1"/>
    </xf>
    <xf numFmtId="0" fontId="27" fillId="0" borderId="0" xfId="0" applyFont="1" applyAlignment="1">
      <alignment horizontal="right" vertical="center" wrapText="1"/>
    </xf>
    <xf numFmtId="0" fontId="15" fillId="0" borderId="0" xfId="0" applyFont="1" applyAlignment="1">
      <alignment horizontal="right" vertical="center" wrapText="1"/>
    </xf>
    <xf numFmtId="0" fontId="35" fillId="0" borderId="0" xfId="0" applyFont="1" applyAlignment="1">
      <alignment horizontal="center"/>
    </xf>
    <xf numFmtId="2" fontId="17" fillId="0" borderId="0" xfId="0" applyNumberFormat="1" applyFont="1"/>
    <xf numFmtId="0" fontId="27" fillId="0" borderId="15" xfId="0" applyFont="1" applyBorder="1" applyAlignment="1">
      <alignment horizontal="right" vertical="center" wrapText="1"/>
    </xf>
    <xf numFmtId="2" fontId="15" fillId="0" borderId="15" xfId="0" applyNumberFormat="1" applyFont="1" applyBorder="1"/>
    <xf numFmtId="0" fontId="15" fillId="0" borderId="15" xfId="0" applyFont="1" applyBorder="1" applyAlignment="1">
      <alignment horizontal="right" vertical="center" wrapText="1"/>
    </xf>
    <xf numFmtId="2" fontId="12" fillId="0" borderId="0" xfId="1" applyNumberFormat="1" applyFont="1"/>
    <xf numFmtId="1" fontId="12" fillId="0" borderId="0" xfId="1" applyNumberFormat="1" applyFont="1"/>
    <xf numFmtId="2" fontId="12" fillId="0" borderId="14" xfId="1" applyNumberFormat="1" applyFont="1" applyBorder="1"/>
    <xf numFmtId="2" fontId="12" fillId="0" borderId="15" xfId="1" applyNumberFormat="1" applyFont="1" applyBorder="1"/>
    <xf numFmtId="1" fontId="12" fillId="0" borderId="15" xfId="1" applyNumberFormat="1" applyFont="1" applyBorder="1"/>
    <xf numFmtId="0" fontId="27" fillId="0" borderId="19" xfId="0" applyFont="1" applyBorder="1" applyAlignment="1">
      <alignment horizontal="right" vertical="center" wrapText="1"/>
    </xf>
    <xf numFmtId="164" fontId="36" fillId="0" borderId="0" xfId="0" applyNumberFormat="1" applyFont="1"/>
    <xf numFmtId="164" fontId="15" fillId="0" borderId="0" xfId="0" applyNumberFormat="1" applyFont="1" applyAlignment="1">
      <alignment horizontal="center" vertical="center" wrapText="1"/>
    </xf>
    <xf numFmtId="0" fontId="30" fillId="0" borderId="0" xfId="0" applyFont="1" applyAlignment="1">
      <alignment horizontal="center"/>
    </xf>
    <xf numFmtId="0" fontId="15" fillId="0" borderId="7" xfId="0" applyFont="1" applyBorder="1" applyAlignment="1">
      <alignment horizontal="left"/>
    </xf>
    <xf numFmtId="0" fontId="30" fillId="0" borderId="5" xfId="0" applyFont="1" applyBorder="1" applyAlignment="1">
      <alignment horizontal="center" vertical="center"/>
    </xf>
    <xf numFmtId="0" fontId="30" fillId="0" borderId="6" xfId="0" applyFont="1" applyBorder="1" applyAlignment="1">
      <alignment horizontal="center" vertical="center"/>
    </xf>
    <xf numFmtId="0" fontId="30" fillId="0" borderId="7" xfId="0" applyFont="1" applyBorder="1" applyAlignment="1">
      <alignment horizontal="center" vertical="center"/>
    </xf>
    <xf numFmtId="164" fontId="15" fillId="0" borderId="5" xfId="0" applyNumberFormat="1" applyFont="1" applyBorder="1"/>
    <xf numFmtId="0" fontId="15" fillId="0" borderId="13" xfId="0" applyFont="1" applyBorder="1" applyAlignment="1">
      <alignment horizontal="right" vertical="center" wrapText="1" indent="1"/>
    </xf>
    <xf numFmtId="11" fontId="15" fillId="0" borderId="13" xfId="0" applyNumberFormat="1" applyFont="1" applyBorder="1" applyAlignment="1">
      <alignment horizontal="center" vertical="center" wrapText="1"/>
    </xf>
    <xf numFmtId="0" fontId="15" fillId="0" borderId="8" xfId="0" applyFont="1" applyBorder="1" applyAlignment="1">
      <alignment horizontal="right" vertical="center" wrapText="1" indent="1"/>
    </xf>
    <xf numFmtId="11" fontId="15" fillId="0" borderId="8" xfId="0" applyNumberFormat="1" applyFont="1" applyBorder="1" applyAlignment="1">
      <alignment horizontal="center" vertical="center" wrapText="1"/>
    </xf>
    <xf numFmtId="0" fontId="27" fillId="0" borderId="3" xfId="0" applyFont="1" applyBorder="1" applyAlignment="1">
      <alignment horizontal="left" vertical="center" wrapText="1" indent="1"/>
    </xf>
    <xf numFmtId="0" fontId="27" fillId="0" borderId="4" xfId="0" applyFont="1" applyBorder="1" applyAlignment="1">
      <alignment horizontal="left" vertical="center" wrapText="1" indent="1"/>
    </xf>
    <xf numFmtId="0" fontId="17" fillId="0" borderId="4" xfId="0" applyFont="1" applyBorder="1" applyAlignment="1">
      <alignment horizontal="left" vertical="top" wrapText="1"/>
    </xf>
    <xf numFmtId="0" fontId="15" fillId="0" borderId="4" xfId="0" applyFont="1" applyBorder="1" applyAlignment="1">
      <alignment horizontal="center" vertical="center" wrapText="1"/>
    </xf>
    <xf numFmtId="0" fontId="27" fillId="0" borderId="4" xfId="0" applyFont="1" applyBorder="1" applyAlignment="1">
      <alignment horizontal="right" vertical="center" wrapText="1"/>
    </xf>
    <xf numFmtId="0" fontId="27" fillId="0" borderId="13" xfId="0" applyFont="1" applyBorder="1" applyAlignment="1">
      <alignment horizontal="right" vertical="center" wrapText="1"/>
    </xf>
    <xf numFmtId="0" fontId="27" fillId="0" borderId="8" xfId="0" applyFont="1" applyBorder="1" applyAlignment="1">
      <alignment horizontal="right" vertical="center" wrapText="1"/>
    </xf>
    <xf numFmtId="1" fontId="15" fillId="0" borderId="19" xfId="0" applyNumberFormat="1" applyFont="1" applyBorder="1" applyAlignment="1">
      <alignment horizontal="right"/>
    </xf>
    <xf numFmtId="164" fontId="15" fillId="0" borderId="16" xfId="0" applyNumberFormat="1" applyFont="1" applyBorder="1"/>
    <xf numFmtId="11" fontId="15" fillId="0" borderId="14" xfId="0" applyNumberFormat="1" applyFont="1" applyBorder="1"/>
    <xf numFmtId="164" fontId="15" fillId="0" borderId="19" xfId="0" applyNumberFormat="1" applyFont="1" applyBorder="1"/>
    <xf numFmtId="0" fontId="15" fillId="0" borderId="18" xfId="0" applyFont="1" applyBorder="1" applyAlignment="1">
      <alignment horizontal="right"/>
    </xf>
    <xf numFmtId="164" fontId="15" fillId="0" borderId="17" xfId="0" applyNumberFormat="1" applyFont="1" applyBorder="1"/>
    <xf numFmtId="11" fontId="15" fillId="0" borderId="0" xfId="0" applyNumberFormat="1" applyFont="1"/>
    <xf numFmtId="164" fontId="15" fillId="0" borderId="18" xfId="0" applyNumberFormat="1" applyFont="1" applyBorder="1"/>
    <xf numFmtId="0" fontId="15" fillId="0" borderId="13" xfId="0" applyFont="1" applyBorder="1" applyAlignment="1">
      <alignment horizontal="center" vertical="center"/>
    </xf>
    <xf numFmtId="1" fontId="15" fillId="0" borderId="18" xfId="0" applyNumberFormat="1" applyFont="1" applyBorder="1" applyAlignment="1">
      <alignment horizontal="right"/>
    </xf>
    <xf numFmtId="1" fontId="15" fillId="0" borderId="10" xfId="0" applyNumberFormat="1" applyFont="1" applyBorder="1" applyAlignment="1">
      <alignment horizontal="right"/>
    </xf>
    <xf numFmtId="11" fontId="15" fillId="0" borderId="15" xfId="0" applyNumberFormat="1" applyFont="1" applyBorder="1"/>
    <xf numFmtId="164" fontId="15" fillId="0" borderId="10" xfId="0" applyNumberFormat="1" applyFont="1" applyBorder="1"/>
    <xf numFmtId="164" fontId="15" fillId="0" borderId="20" xfId="0" applyNumberFormat="1" applyFont="1" applyBorder="1"/>
    <xf numFmtId="0" fontId="60" fillId="0" borderId="5" xfId="0" applyFont="1" applyBorder="1" applyAlignment="1">
      <alignment horizontal="right"/>
    </xf>
    <xf numFmtId="0" fontId="60" fillId="0" borderId="5" xfId="0" applyFont="1" applyBorder="1"/>
    <xf numFmtId="0" fontId="60" fillId="0" borderId="6" xfId="0" applyFont="1" applyBorder="1"/>
    <xf numFmtId="0" fontId="60" fillId="0" borderId="7" xfId="0" applyFont="1" applyBorder="1"/>
    <xf numFmtId="1" fontId="15" fillId="0" borderId="4" xfId="0" applyNumberFormat="1" applyFont="1" applyBorder="1" applyAlignment="1">
      <alignment horizontal="right"/>
    </xf>
    <xf numFmtId="0" fontId="15" fillId="0" borderId="13" xfId="0" applyFont="1" applyBorder="1" applyAlignment="1">
      <alignment horizontal="right"/>
    </xf>
    <xf numFmtId="1" fontId="15" fillId="0" borderId="13" xfId="0" applyNumberFormat="1" applyFont="1" applyBorder="1" applyAlignment="1">
      <alignment horizontal="right"/>
    </xf>
    <xf numFmtId="0" fontId="15" fillId="0" borderId="8" xfId="0" applyFont="1" applyBorder="1" applyAlignment="1">
      <alignment horizontal="right"/>
    </xf>
    <xf numFmtId="0" fontId="0" fillId="4" borderId="0" xfId="0" applyFill="1"/>
    <xf numFmtId="0" fontId="0" fillId="6" borderId="0" xfId="0" applyFill="1"/>
    <xf numFmtId="0" fontId="40" fillId="0" borderId="14" xfId="2" applyFont="1" applyBorder="1" applyAlignment="1">
      <alignment horizontal="right" vertical="center" wrapText="1"/>
    </xf>
    <xf numFmtId="0" fontId="12" fillId="0" borderId="7" xfId="2" applyFont="1" applyBorder="1" applyAlignment="1">
      <alignment horizontal="right"/>
    </xf>
    <xf numFmtId="0" fontId="12" fillId="0" borderId="8" xfId="2" applyFont="1" applyBorder="1" applyAlignment="1">
      <alignment horizontal="right"/>
    </xf>
    <xf numFmtId="0" fontId="1" fillId="0" borderId="13" xfId="2" applyBorder="1"/>
    <xf numFmtId="0" fontId="1" fillId="0" borderId="8" xfId="2" applyBorder="1"/>
    <xf numFmtId="0" fontId="12" fillId="0" borderId="8" xfId="2" applyFont="1" applyBorder="1" applyAlignment="1">
      <alignment horizontal="left"/>
    </xf>
    <xf numFmtId="165" fontId="12" fillId="0" borderId="4" xfId="2" applyNumberFormat="1" applyFont="1" applyBorder="1" applyAlignment="1">
      <alignment horizontal="right"/>
    </xf>
    <xf numFmtId="165" fontId="12" fillId="0" borderId="8" xfId="2" applyNumberFormat="1" applyFont="1" applyBorder="1" applyAlignment="1">
      <alignment horizontal="right"/>
    </xf>
    <xf numFmtId="0" fontId="12" fillId="0" borderId="3" xfId="2" applyFont="1" applyBorder="1" applyAlignment="1">
      <alignment horizontal="left"/>
    </xf>
    <xf numFmtId="165" fontId="12" fillId="0" borderId="0" xfId="2" applyNumberFormat="1" applyFont="1" applyAlignment="1">
      <alignment vertical="center"/>
    </xf>
    <xf numFmtId="0" fontId="12" fillId="0" borderId="13" xfId="2" applyFont="1" applyBorder="1" applyAlignment="1">
      <alignment horizontal="left"/>
    </xf>
    <xf numFmtId="1" fontId="12" fillId="0" borderId="0" xfId="2" applyNumberFormat="1" applyFont="1" applyAlignment="1">
      <alignment vertical="center"/>
    </xf>
    <xf numFmtId="0" fontId="7" fillId="0" borderId="3" xfId="0" applyFont="1" applyBorder="1" applyAlignment="1">
      <alignment horizontal="center" vertical="center" wrapText="1"/>
    </xf>
    <xf numFmtId="165" fontId="27" fillId="0" borderId="6" xfId="2" applyNumberFormat="1" applyFont="1" applyBorder="1" applyAlignment="1">
      <alignment vertical="center"/>
    </xf>
    <xf numFmtId="164" fontId="0" fillId="0" borderId="6" xfId="0" applyNumberFormat="1" applyBorder="1"/>
    <xf numFmtId="11" fontId="0" fillId="0" borderId="6" xfId="0" applyNumberFormat="1" applyBorder="1"/>
    <xf numFmtId="0" fontId="0" fillId="0" borderId="7" xfId="0" applyBorder="1" applyAlignment="1">
      <alignment horizontal="center" vertical="center"/>
    </xf>
    <xf numFmtId="0" fontId="6" fillId="0" borderId="0" xfId="0" applyFont="1" applyAlignment="1">
      <alignment horizontal="left" vertical="center" wrapText="1"/>
    </xf>
    <xf numFmtId="11" fontId="0" fillId="0" borderId="0" xfId="0" applyNumberFormat="1"/>
    <xf numFmtId="0" fontId="0" fillId="0" borderId="0" xfId="0" applyAlignment="1">
      <alignment horizontal="center" vertical="center"/>
    </xf>
    <xf numFmtId="11" fontId="17" fillId="0" borderId="3" xfId="0" applyNumberFormat="1" applyFont="1" applyBorder="1" applyAlignment="1">
      <alignment horizontal="left" vertical="top" wrapText="1"/>
    </xf>
    <xf numFmtId="2" fontId="15" fillId="0" borderId="4" xfId="0" applyNumberFormat="1" applyFont="1" applyBorder="1" applyAlignment="1">
      <alignment horizontal="center" vertical="center" wrapText="1"/>
    </xf>
    <xf numFmtId="0" fontId="7" fillId="0" borderId="3" xfId="0" applyFont="1" applyBorder="1" applyAlignment="1">
      <alignment horizontal="right" vertical="center" wrapText="1" indent="10"/>
    </xf>
    <xf numFmtId="0" fontId="40" fillId="0" borderId="5" xfId="0" applyFont="1" applyBorder="1" applyAlignment="1">
      <alignment horizontal="left" vertical="center" wrapText="1"/>
    </xf>
    <xf numFmtId="164" fontId="15" fillId="0" borderId="6" xfId="0" applyNumberFormat="1" applyFont="1" applyBorder="1" applyAlignment="1">
      <alignment horizontal="right" vertical="center"/>
    </xf>
    <xf numFmtId="1" fontId="0" fillId="0" borderId="0" xfId="0" applyNumberFormat="1"/>
    <xf numFmtId="2" fontId="12" fillId="0" borderId="8" xfId="2" applyNumberFormat="1" applyFont="1" applyBorder="1" applyAlignment="1">
      <alignment horizontal="right" vertical="center"/>
    </xf>
    <xf numFmtId="164" fontId="15" fillId="6" borderId="13" xfId="0" applyNumberFormat="1" applyFont="1" applyFill="1" applyBorder="1" applyAlignment="1">
      <alignment horizontal="center" vertical="center" wrapText="1"/>
    </xf>
    <xf numFmtId="164" fontId="15" fillId="6" borderId="8" xfId="0" applyNumberFormat="1" applyFont="1" applyFill="1" applyBorder="1" applyAlignment="1">
      <alignment horizontal="center" vertical="center" wrapText="1"/>
    </xf>
    <xf numFmtId="164" fontId="12" fillId="0" borderId="13" xfId="2" applyNumberFormat="1" applyFont="1" applyBorder="1" applyAlignment="1">
      <alignment horizontal="right" vertical="center"/>
    </xf>
    <xf numFmtId="0" fontId="40" fillId="0" borderId="3" xfId="0" applyFont="1" applyBorder="1" applyAlignment="1">
      <alignment horizontal="center" vertical="center" wrapText="1"/>
    </xf>
    <xf numFmtId="0" fontId="16" fillId="0" borderId="7" xfId="0" applyFont="1" applyBorder="1"/>
    <xf numFmtId="164" fontId="15" fillId="6" borderId="4" xfId="0" applyNumberFormat="1" applyFont="1" applyFill="1" applyBorder="1" applyAlignment="1">
      <alignment horizontal="center" vertical="center"/>
    </xf>
    <xf numFmtId="164" fontId="15" fillId="6" borderId="13" xfId="0" applyNumberFormat="1" applyFont="1" applyFill="1" applyBorder="1" applyAlignment="1">
      <alignment horizontal="center" vertical="center"/>
    </xf>
    <xf numFmtId="164" fontId="15" fillId="6" borderId="8" xfId="0" applyNumberFormat="1" applyFont="1" applyFill="1" applyBorder="1" applyAlignment="1">
      <alignment horizontal="center" vertical="center"/>
    </xf>
    <xf numFmtId="164" fontId="15" fillId="0" borderId="0" xfId="0" applyNumberFormat="1" applyFont="1"/>
    <xf numFmtId="0" fontId="7" fillId="0" borderId="9" xfId="0" applyFont="1" applyBorder="1" applyAlignment="1">
      <alignment horizontal="left" vertical="center" wrapText="1"/>
    </xf>
    <xf numFmtId="170" fontId="15" fillId="0" borderId="2" xfId="0" applyNumberFormat="1" applyFont="1" applyBorder="1" applyAlignment="1">
      <alignment horizontal="center" vertical="center" wrapText="1"/>
    </xf>
    <xf numFmtId="165" fontId="15" fillId="0" borderId="0" xfId="0" applyNumberFormat="1" applyFont="1"/>
    <xf numFmtId="0" fontId="24" fillId="0" borderId="3" xfId="0" applyFont="1" applyBorder="1" applyAlignment="1">
      <alignment horizontal="center" vertical="top" wrapText="1"/>
    </xf>
    <xf numFmtId="0" fontId="7" fillId="0" borderId="3" xfId="0" applyFont="1" applyBorder="1" applyAlignment="1">
      <alignment horizontal="center" vertical="top" wrapText="1"/>
    </xf>
    <xf numFmtId="164" fontId="24" fillId="0" borderId="0" xfId="0" applyNumberFormat="1" applyFont="1"/>
    <xf numFmtId="165" fontId="0" fillId="0" borderId="0" xfId="0" applyNumberFormat="1"/>
    <xf numFmtId="164" fontId="15" fillId="6" borderId="4" xfId="0" applyNumberFormat="1" applyFont="1" applyFill="1" applyBorder="1" applyAlignment="1">
      <alignment horizontal="center" vertical="center" wrapText="1"/>
    </xf>
    <xf numFmtId="164" fontId="15" fillId="4" borderId="4" xfId="0" applyNumberFormat="1" applyFont="1" applyFill="1" applyBorder="1" applyAlignment="1">
      <alignment horizontal="center" vertical="center" wrapText="1"/>
    </xf>
    <xf numFmtId="164" fontId="15" fillId="4" borderId="13" xfId="0" applyNumberFormat="1" applyFont="1" applyFill="1" applyBorder="1" applyAlignment="1">
      <alignment horizontal="center" vertical="center" wrapText="1"/>
    </xf>
    <xf numFmtId="164" fontId="15" fillId="4" borderId="8" xfId="0" applyNumberFormat="1" applyFont="1" applyFill="1" applyBorder="1" applyAlignment="1">
      <alignment horizontal="center" vertical="center" wrapText="1"/>
    </xf>
    <xf numFmtId="164" fontId="15" fillId="0" borderId="14" xfId="0" applyNumberFormat="1" applyFont="1" applyBorder="1"/>
    <xf numFmtId="164" fontId="15" fillId="0" borderId="15" xfId="0" applyNumberFormat="1" applyFont="1" applyBorder="1"/>
    <xf numFmtId="2" fontId="15" fillId="0" borderId="3" xfId="0" applyNumberFormat="1" applyFont="1" applyBorder="1"/>
    <xf numFmtId="0" fontId="30" fillId="0" borderId="3" xfId="0" applyFont="1" applyBorder="1" applyAlignment="1">
      <alignment horizontal="center"/>
    </xf>
    <xf numFmtId="170" fontId="15" fillId="0" borderId="14" xfId="0" applyNumberFormat="1" applyFont="1" applyBorder="1"/>
    <xf numFmtId="170" fontId="15" fillId="0" borderId="0" xfId="0" applyNumberFormat="1" applyFont="1"/>
    <xf numFmtId="170" fontId="15" fillId="0" borderId="15" xfId="0" applyNumberFormat="1" applyFont="1" applyBorder="1"/>
    <xf numFmtId="0" fontId="0" fillId="0" borderId="13" xfId="0" applyBorder="1"/>
    <xf numFmtId="164" fontId="0" fillId="0" borderId="13" xfId="0" applyNumberFormat="1" applyBorder="1"/>
    <xf numFmtId="0" fontId="0" fillId="0" borderId="8" xfId="0" applyBorder="1"/>
    <xf numFmtId="164" fontId="0" fillId="0" borderId="8" xfId="0" applyNumberFormat="1" applyBorder="1"/>
    <xf numFmtId="0" fontId="0" fillId="0" borderId="4" xfId="0" applyBorder="1"/>
    <xf numFmtId="165" fontId="15" fillId="0" borderId="7" xfId="0" applyNumberFormat="1" applyFont="1" applyBorder="1"/>
    <xf numFmtId="165" fontId="15" fillId="0" borderId="7" xfId="0" applyNumberFormat="1" applyFont="1" applyBorder="1" applyAlignment="1">
      <alignment horizontal="right" vertical="center"/>
    </xf>
    <xf numFmtId="165" fontId="15" fillId="0" borderId="15" xfId="0" applyNumberFormat="1" applyFont="1" applyBorder="1"/>
    <xf numFmtId="0" fontId="15" fillId="0" borderId="4" xfId="0" applyFont="1" applyBorder="1" applyAlignment="1">
      <alignment horizontal="center" vertical="center"/>
    </xf>
    <xf numFmtId="0" fontId="15" fillId="0" borderId="8" xfId="0" applyFont="1" applyBorder="1" applyAlignment="1">
      <alignment horizontal="center" vertical="center"/>
    </xf>
    <xf numFmtId="0" fontId="40" fillId="0" borderId="0" xfId="0" applyFont="1" applyAlignment="1">
      <alignment horizontal="center" vertical="center" wrapText="1"/>
    </xf>
    <xf numFmtId="0" fontId="5" fillId="0" borderId="1" xfId="0" applyFont="1" applyBorder="1" applyAlignment="1">
      <alignment horizontal="center" vertical="center" wrapText="1"/>
    </xf>
    <xf numFmtId="0" fontId="4" fillId="0" borderId="3" xfId="0" applyFont="1" applyBorder="1" applyAlignment="1">
      <alignment horizontal="right" vertical="center" wrapText="1"/>
    </xf>
    <xf numFmtId="0" fontId="5" fillId="0" borderId="3" xfId="0" applyFont="1" applyBorder="1" applyAlignment="1">
      <alignment horizontal="left" vertical="top" wrapText="1" indent="1"/>
    </xf>
    <xf numFmtId="0" fontId="5" fillId="0" borderId="3" xfId="0" applyFont="1" applyBorder="1" applyAlignment="1">
      <alignment horizontal="center" vertical="top" wrapText="1"/>
    </xf>
    <xf numFmtId="0" fontId="0" fillId="0" borderId="3" xfId="0" applyBorder="1" applyAlignment="1">
      <alignment horizontal="left" vertical="top" wrapText="1"/>
    </xf>
    <xf numFmtId="0" fontId="5"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0" fillId="0" borderId="0" xfId="0" applyFont="1" applyAlignment="1">
      <alignment horizontal="left" vertical="top"/>
    </xf>
    <xf numFmtId="0" fontId="7" fillId="0" borderId="14" xfId="0" applyFont="1" applyBorder="1" applyAlignment="1">
      <alignment horizontal="left" vertical="center" wrapText="1" indent="1"/>
    </xf>
    <xf numFmtId="0" fontId="7" fillId="0" borderId="0" xfId="0" applyFont="1" applyAlignment="1">
      <alignment horizontal="left" vertical="center" wrapText="1" indent="1"/>
    </xf>
    <xf numFmtId="0" fontId="7" fillId="0" borderId="17" xfId="0" applyFont="1" applyBorder="1" applyAlignment="1">
      <alignment horizontal="right" vertical="center" wrapText="1"/>
    </xf>
    <xf numFmtId="0" fontId="40" fillId="0" borderId="4" xfId="0" applyFont="1" applyBorder="1" applyAlignment="1">
      <alignment horizontal="left" vertical="center" wrapText="1"/>
    </xf>
    <xf numFmtId="0" fontId="40" fillId="0" borderId="13" xfId="0" applyFont="1" applyBorder="1" applyAlignment="1">
      <alignment horizontal="left" vertical="center" wrapText="1"/>
    </xf>
    <xf numFmtId="0" fontId="40" fillId="0" borderId="8" xfId="0" applyFont="1" applyBorder="1" applyAlignment="1">
      <alignment horizontal="left" vertical="center" wrapText="1"/>
    </xf>
    <xf numFmtId="0" fontId="40" fillId="0" borderId="3" xfId="0" applyFont="1" applyBorder="1" applyAlignment="1">
      <alignment horizontal="left" vertical="center" wrapText="1"/>
    </xf>
    <xf numFmtId="0" fontId="30" fillId="0" borderId="3" xfId="0" applyFont="1" applyBorder="1" applyAlignment="1">
      <alignment horizontal="right" vertical="center" wrapText="1"/>
    </xf>
    <xf numFmtId="0" fontId="30" fillId="0" borderId="3" xfId="0" applyFont="1" applyBorder="1" applyAlignment="1">
      <alignment horizontal="right" vertical="top" wrapText="1"/>
    </xf>
    <xf numFmtId="0" fontId="30" fillId="0" borderId="1" xfId="0" applyFont="1" applyBorder="1" applyAlignment="1">
      <alignment horizontal="center" vertical="center" wrapText="1"/>
    </xf>
    <xf numFmtId="0" fontId="6" fillId="0" borderId="3"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horizontal="center" vertical="center" wrapText="1"/>
    </xf>
    <xf numFmtId="0" fontId="4" fillId="0" borderId="1" xfId="0" applyFont="1" applyBorder="1" applyAlignment="1">
      <alignment horizontal="center" vertical="top" wrapText="1"/>
    </xf>
    <xf numFmtId="0" fontId="5" fillId="0" borderId="3" xfId="0" applyFont="1" applyBorder="1" applyAlignment="1">
      <alignment horizontal="left" vertical="top" wrapText="1"/>
    </xf>
    <xf numFmtId="0" fontId="4" fillId="0" borderId="3" xfId="0" applyFont="1" applyBorder="1" applyAlignment="1">
      <alignment horizontal="right" vertical="center" wrapText="1" indent="1"/>
    </xf>
    <xf numFmtId="0" fontId="7" fillId="0" borderId="2" xfId="0" applyFont="1" applyBorder="1" applyAlignment="1">
      <alignment horizontal="center" vertical="center" wrapText="1"/>
    </xf>
    <xf numFmtId="0" fontId="4" fillId="0" borderId="0" xfId="0" applyFont="1" applyAlignment="1">
      <alignment horizontal="left" vertical="top"/>
    </xf>
    <xf numFmtId="0" fontId="5" fillId="0" borderId="0" xfId="0" applyFont="1"/>
    <xf numFmtId="0" fontId="5" fillId="0" borderId="3" xfId="0" applyFont="1" applyBorder="1" applyAlignment="1">
      <alignment horizontal="left" vertical="top" wrapText="1" indent="6"/>
    </xf>
    <xf numFmtId="0" fontId="4" fillId="0" borderId="4" xfId="0" applyFont="1" applyBorder="1" applyAlignment="1">
      <alignment horizontal="center" vertical="center" wrapText="1"/>
    </xf>
    <xf numFmtId="0" fontId="6" fillId="0" borderId="13" xfId="0" applyFont="1" applyBorder="1" applyAlignment="1">
      <alignment horizontal="center" vertical="top" wrapText="1"/>
    </xf>
    <xf numFmtId="0" fontId="6" fillId="0" borderId="3" xfId="0" applyFont="1" applyBorder="1" applyAlignment="1">
      <alignment horizontal="center" vertical="center" wrapText="1"/>
    </xf>
    <xf numFmtId="0" fontId="4" fillId="0" borderId="1" xfId="0" applyFont="1" applyBorder="1" applyAlignment="1">
      <alignment horizontal="left" vertical="top" wrapText="1" indent="2"/>
    </xf>
    <xf numFmtId="0" fontId="6" fillId="0" borderId="1" xfId="0" applyFont="1" applyBorder="1" applyAlignment="1">
      <alignment horizontal="center" vertical="center" wrapText="1"/>
    </xf>
    <xf numFmtId="0" fontId="7" fillId="0" borderId="9" xfId="0" applyFont="1" applyBorder="1" applyAlignment="1">
      <alignment horizontal="right" vertical="center" wrapText="1"/>
    </xf>
    <xf numFmtId="0" fontId="7" fillId="0" borderId="13" xfId="0" applyFont="1" applyBorder="1" applyAlignment="1">
      <alignment horizontal="right" vertical="center" wrapText="1"/>
    </xf>
    <xf numFmtId="0" fontId="7" fillId="0" borderId="8" xfId="0" applyFont="1" applyBorder="1" applyAlignment="1">
      <alignment horizontal="right" vertical="center" wrapText="1"/>
    </xf>
    <xf numFmtId="0" fontId="7" fillId="0" borderId="0" xfId="0" applyFont="1" applyAlignment="1">
      <alignment horizontal="right" vertical="center" wrapText="1"/>
    </xf>
    <xf numFmtId="0" fontId="40" fillId="0" borderId="0" xfId="2" applyFont="1" applyAlignment="1">
      <alignment horizontal="right" vertical="center" wrapText="1"/>
    </xf>
    <xf numFmtId="166" fontId="40" fillId="0" borderId="0" xfId="8" applyFont="1">
      <alignment horizontal="center"/>
    </xf>
    <xf numFmtId="1" fontId="17" fillId="0" borderId="5" xfId="0" applyNumberFormat="1" applyFont="1" applyBorder="1"/>
    <xf numFmtId="1" fontId="17" fillId="0" borderId="6" xfId="0" applyNumberFormat="1" applyFont="1" applyBorder="1"/>
    <xf numFmtId="0" fontId="4" fillId="0" borderId="3" xfId="0" applyFont="1" applyBorder="1" applyAlignment="1">
      <alignment vertical="center" wrapText="1"/>
    </xf>
    <xf numFmtId="0" fontId="6" fillId="0" borderId="3" xfId="0" applyFont="1" applyBorder="1" applyAlignment="1">
      <alignment vertical="top" wrapText="1"/>
    </xf>
    <xf numFmtId="0" fontId="4" fillId="0" borderId="3" xfId="0" applyFont="1" applyBorder="1" applyAlignment="1">
      <alignment vertical="top" wrapText="1"/>
    </xf>
    <xf numFmtId="0" fontId="4" fillId="0" borderId="1" xfId="0" applyFont="1" applyBorder="1" applyAlignment="1">
      <alignment vertical="center" wrapText="1"/>
    </xf>
    <xf numFmtId="0" fontId="4" fillId="0" borderId="13" xfId="0" applyFont="1" applyBorder="1" applyAlignment="1">
      <alignment vertical="center" wrapText="1"/>
    </xf>
    <xf numFmtId="0" fontId="61" fillId="0" borderId="3" xfId="0" applyFont="1" applyBorder="1" applyAlignment="1">
      <alignment vertical="top" wrapText="1"/>
    </xf>
    <xf numFmtId="0" fontId="40" fillId="0" borderId="0" xfId="0" applyFont="1" applyAlignment="1">
      <alignment horizontal="left" vertical="center" wrapText="1"/>
    </xf>
    <xf numFmtId="1" fontId="17" fillId="0" borderId="0" xfId="0" applyNumberFormat="1" applyFont="1"/>
    <xf numFmtId="164" fontId="15" fillId="0" borderId="13" xfId="0" applyNumberFormat="1" applyFont="1" applyBorder="1"/>
    <xf numFmtId="0" fontId="6" fillId="0" borderId="8" xfId="0" applyFont="1" applyBorder="1" applyAlignment="1">
      <alignment horizontal="left" vertical="center" wrapText="1"/>
    </xf>
    <xf numFmtId="2" fontId="15" fillId="0" borderId="8" xfId="0" applyNumberFormat="1" applyFont="1" applyBorder="1"/>
    <xf numFmtId="165" fontId="15" fillId="0" borderId="8" xfId="0" applyNumberFormat="1" applyFont="1" applyBorder="1"/>
    <xf numFmtId="0" fontId="6" fillId="0" borderId="4" xfId="0" applyFont="1" applyBorder="1" applyAlignment="1">
      <alignment horizontal="left" vertical="center" wrapText="1"/>
    </xf>
    <xf numFmtId="2" fontId="15" fillId="0" borderId="4" xfId="0" applyNumberFormat="1" applyFont="1" applyBorder="1"/>
    <xf numFmtId="0" fontId="60" fillId="0" borderId="0" xfId="0" applyFont="1" applyAlignment="1">
      <alignment horizontal="right"/>
    </xf>
    <xf numFmtId="0" fontId="60" fillId="0" borderId="0" xfId="0" applyFont="1"/>
    <xf numFmtId="0" fontId="6" fillId="0" borderId="6" xfId="0" applyFont="1" applyBorder="1" applyAlignment="1">
      <alignment horizontal="left" vertical="center" wrapText="1"/>
    </xf>
    <xf numFmtId="165" fontId="15" fillId="0" borderId="20" xfId="0" applyNumberFormat="1" applyFont="1" applyBorder="1"/>
    <xf numFmtId="0" fontId="17" fillId="0" borderId="15" xfId="0" applyFont="1" applyBorder="1"/>
    <xf numFmtId="165" fontId="15" fillId="0" borderId="10" xfId="0" applyNumberFormat="1" applyFont="1" applyBorder="1"/>
    <xf numFmtId="2" fontId="15" fillId="0" borderId="16" xfId="0" applyNumberFormat="1" applyFont="1" applyBorder="1"/>
    <xf numFmtId="0" fontId="17" fillId="0" borderId="17" xfId="0" applyFont="1" applyBorder="1"/>
    <xf numFmtId="2" fontId="17" fillId="0" borderId="18" xfId="0" applyNumberFormat="1" applyFont="1" applyBorder="1"/>
    <xf numFmtId="2" fontId="17" fillId="0" borderId="10" xfId="0" applyNumberFormat="1" applyFont="1" applyBorder="1"/>
    <xf numFmtId="0" fontId="60" fillId="0" borderId="3" xfId="0" applyFont="1" applyBorder="1" applyAlignment="1">
      <alignment horizontal="center"/>
    </xf>
    <xf numFmtId="0" fontId="17" fillId="0" borderId="4" xfId="0" applyFont="1" applyBorder="1"/>
    <xf numFmtId="0" fontId="17" fillId="0" borderId="5" xfId="0" applyFont="1" applyBorder="1"/>
    <xf numFmtId="2" fontId="17" fillId="0" borderId="7" xfId="0" applyNumberFormat="1" applyFont="1" applyBorder="1"/>
    <xf numFmtId="0" fontId="17" fillId="0" borderId="3" xfId="0" applyFont="1" applyBorder="1"/>
    <xf numFmtId="0" fontId="17" fillId="0" borderId="20" xfId="0" applyFont="1" applyBorder="1" applyAlignment="1">
      <alignment horizontal="right"/>
    </xf>
    <xf numFmtId="2" fontId="17" fillId="0" borderId="13" xfId="0" applyNumberFormat="1" applyFont="1" applyBorder="1"/>
    <xf numFmtId="164" fontId="17" fillId="0" borderId="18" xfId="0" applyNumberFormat="1" applyFont="1" applyBorder="1"/>
    <xf numFmtId="164" fontId="15" fillId="0" borderId="4" xfId="0" applyNumberFormat="1" applyFont="1" applyBorder="1"/>
    <xf numFmtId="170" fontId="15" fillId="0" borderId="6" xfId="0" applyNumberFormat="1" applyFont="1" applyBorder="1"/>
    <xf numFmtId="170" fontId="15" fillId="0" borderId="6" xfId="0" applyNumberFormat="1" applyFont="1" applyBorder="1" applyAlignment="1">
      <alignment horizontal="right" vertical="center"/>
    </xf>
    <xf numFmtId="169" fontId="15" fillId="0" borderId="6" xfId="0" applyNumberFormat="1" applyFont="1" applyBorder="1" applyAlignment="1">
      <alignment horizontal="right" vertical="center"/>
    </xf>
    <xf numFmtId="0" fontId="0" fillId="0" borderId="0" xfId="0" applyAlignment="1">
      <alignment horizontal="right"/>
    </xf>
    <xf numFmtId="164" fontId="12" fillId="0" borderId="0" xfId="1" applyNumberFormat="1" applyFont="1"/>
    <xf numFmtId="164" fontId="12" fillId="0" borderId="14" xfId="1" applyNumberFormat="1" applyFont="1" applyBorder="1"/>
    <xf numFmtId="164" fontId="12" fillId="0" borderId="15" xfId="1" applyNumberFormat="1" applyFont="1" applyBorder="1"/>
    <xf numFmtId="164" fontId="12" fillId="0" borderId="0" xfId="2" applyNumberFormat="1" applyFont="1" applyAlignment="1">
      <alignment vertical="center"/>
    </xf>
    <xf numFmtId="164" fontId="27" fillId="0" borderId="0" xfId="2" applyNumberFormat="1" applyFont="1" applyAlignment="1">
      <alignment vertical="center"/>
    </xf>
    <xf numFmtId="164" fontId="30" fillId="0" borderId="6" xfId="0" applyNumberFormat="1" applyFont="1" applyBorder="1" applyAlignment="1">
      <alignment vertical="center"/>
    </xf>
    <xf numFmtId="164" fontId="30" fillId="0" borderId="6" xfId="0" applyNumberFormat="1" applyFont="1" applyBorder="1" applyAlignment="1">
      <alignment horizontal="right" vertical="center"/>
    </xf>
    <xf numFmtId="164" fontId="27" fillId="0" borderId="0" xfId="0" applyNumberFormat="1" applyFont="1"/>
    <xf numFmtId="2" fontId="27" fillId="0" borderId="0" xfId="0" applyNumberFormat="1" applyFont="1"/>
    <xf numFmtId="0" fontId="27" fillId="0" borderId="14" xfId="0" applyFont="1" applyBorder="1" applyAlignment="1">
      <alignment horizontal="right" vertical="center" wrapText="1"/>
    </xf>
    <xf numFmtId="11" fontId="15" fillId="0" borderId="13" xfId="0" applyNumberFormat="1" applyFont="1" applyBorder="1"/>
    <xf numFmtId="2" fontId="15" fillId="0" borderId="19" xfId="0" applyNumberFormat="1" applyFont="1" applyBorder="1"/>
    <xf numFmtId="2" fontId="15" fillId="0" borderId="13" xfId="0" applyNumberFormat="1" applyFont="1" applyBorder="1"/>
    <xf numFmtId="1" fontId="25" fillId="0" borderId="0" xfId="0" applyNumberFormat="1" applyFont="1"/>
    <xf numFmtId="0" fontId="30" fillId="0" borderId="3" xfId="0" applyFont="1" applyBorder="1" applyAlignment="1">
      <alignment horizontal="center" vertical="center"/>
    </xf>
    <xf numFmtId="0" fontId="30" fillId="0" borderId="3" xfId="0" applyFont="1" applyBorder="1" applyAlignment="1">
      <alignment horizontal="center" vertical="center" wrapText="1"/>
    </xf>
    <xf numFmtId="0" fontId="25" fillId="0" borderId="6" xfId="0" applyFont="1" applyBorder="1"/>
    <xf numFmtId="0" fontId="0" fillId="0" borderId="14" xfId="0" applyBorder="1"/>
    <xf numFmtId="0" fontId="25" fillId="0" borderId="0" xfId="0" applyFont="1" applyAlignment="1">
      <alignment wrapText="1"/>
    </xf>
    <xf numFmtId="169" fontId="16" fillId="0" borderId="0" xfId="0" applyNumberFormat="1" applyFont="1"/>
    <xf numFmtId="172" fontId="16" fillId="0" borderId="0" xfId="0" applyNumberFormat="1" applyFont="1"/>
    <xf numFmtId="171" fontId="16" fillId="0" borderId="0" xfId="0" applyNumberFormat="1" applyFont="1"/>
    <xf numFmtId="0" fontId="75" fillId="0" borderId="0" xfId="0" applyFont="1"/>
    <xf numFmtId="0" fontId="76" fillId="0" borderId="0" xfId="0" applyFont="1"/>
    <xf numFmtId="0" fontId="75" fillId="0" borderId="0" xfId="0" applyFont="1" applyAlignment="1">
      <alignment horizontal="right" vertical="center"/>
    </xf>
    <xf numFmtId="49" fontId="75" fillId="0" borderId="0" xfId="0" applyNumberFormat="1" applyFont="1"/>
    <xf numFmtId="2" fontId="75" fillId="0" borderId="0" xfId="0" applyNumberFormat="1" applyFont="1"/>
    <xf numFmtId="0" fontId="75" fillId="0" borderId="0" xfId="0" applyFont="1" applyAlignment="1">
      <alignment horizontal="right"/>
    </xf>
    <xf numFmtId="2" fontId="75" fillId="0" borderId="0" xfId="0" applyNumberFormat="1" applyFont="1" applyAlignment="1">
      <alignment horizontal="right"/>
    </xf>
    <xf numFmtId="0" fontId="75" fillId="0" borderId="6" xfId="0" applyFont="1" applyBorder="1"/>
    <xf numFmtId="0" fontId="76" fillId="0" borderId="0" xfId="0" applyFont="1" applyAlignment="1">
      <alignment vertical="center" wrapText="1"/>
    </xf>
    <xf numFmtId="0" fontId="75" fillId="0" borderId="0" xfId="0" applyFont="1" applyAlignment="1">
      <alignment vertical="center" wrapText="1"/>
    </xf>
    <xf numFmtId="0" fontId="75" fillId="0" borderId="0" xfId="0" applyFont="1" applyAlignment="1">
      <alignment vertical="center"/>
    </xf>
    <xf numFmtId="164" fontId="75" fillId="0" borderId="0" xfId="0" applyNumberFormat="1" applyFont="1"/>
    <xf numFmtId="0" fontId="75" fillId="0" borderId="0" xfId="0" applyFont="1" applyAlignment="1">
      <alignment horizontal="center"/>
    </xf>
    <xf numFmtId="0" fontId="75" fillId="0" borderId="0" xfId="0" applyFont="1" applyAlignment="1">
      <alignment horizontal="left"/>
    </xf>
    <xf numFmtId="0" fontId="76" fillId="0" borderId="0" xfId="0" applyFont="1" applyAlignment="1">
      <alignment vertical="top"/>
    </xf>
    <xf numFmtId="0" fontId="76" fillId="0" borderId="0" xfId="0" applyFont="1" applyAlignment="1">
      <alignment vertical="top" wrapText="1"/>
    </xf>
    <xf numFmtId="0" fontId="76" fillId="0" borderId="0" xfId="0" applyFont="1" applyAlignment="1">
      <alignment horizontal="left" vertical="top"/>
    </xf>
    <xf numFmtId="0" fontId="75" fillId="0" borderId="0" xfId="0" applyFont="1" applyAlignment="1">
      <alignment vertical="top"/>
    </xf>
    <xf numFmtId="0" fontId="75" fillId="0" borderId="0" xfId="0" applyFont="1" applyAlignment="1">
      <alignment horizontal="center" vertical="center"/>
    </xf>
    <xf numFmtId="164" fontId="27" fillId="0" borderId="14" xfId="0" applyNumberFormat="1" applyFont="1" applyBorder="1"/>
    <xf numFmtId="2" fontId="27" fillId="0" borderId="14" xfId="0" applyNumberFormat="1" applyFont="1" applyBorder="1"/>
    <xf numFmtId="0" fontId="40" fillId="0" borderId="0" xfId="0" applyFont="1" applyAlignment="1">
      <alignment horizontal="center" vertical="top" wrapText="1"/>
    </xf>
    <xf numFmtId="0" fontId="27" fillId="0" borderId="14" xfId="0" applyFont="1" applyBorder="1" applyAlignment="1">
      <alignment horizontal="left" vertical="center" wrapText="1"/>
    </xf>
    <xf numFmtId="0" fontId="27" fillId="0" borderId="0" xfId="0" applyFont="1" applyAlignment="1">
      <alignment horizontal="left" vertical="center" wrapText="1"/>
    </xf>
    <xf numFmtId="0" fontId="27" fillId="0" borderId="15" xfId="0" applyFont="1" applyBorder="1" applyAlignment="1">
      <alignment horizontal="left" vertical="center" wrapText="1"/>
    </xf>
    <xf numFmtId="0" fontId="15" fillId="0" borderId="0" xfId="0" applyFont="1" applyAlignment="1">
      <alignment horizontal="left" vertical="center" wrapText="1"/>
    </xf>
    <xf numFmtId="0" fontId="15" fillId="0" borderId="15" xfId="0" applyFont="1" applyBorder="1" applyAlignment="1">
      <alignment horizontal="left" vertical="center" wrapText="1"/>
    </xf>
    <xf numFmtId="0" fontId="35" fillId="0" borderId="0" xfId="0" applyFont="1" applyAlignment="1">
      <alignment horizontal="left" vertical="top"/>
    </xf>
    <xf numFmtId="0" fontId="27" fillId="0" borderId="0" xfId="0" applyFont="1" applyAlignment="1">
      <alignment horizontal="center" vertical="top" wrapText="1"/>
    </xf>
    <xf numFmtId="164" fontId="15" fillId="0" borderId="0" xfId="0" applyNumberFormat="1" applyFont="1" applyAlignment="1">
      <alignment horizontal="right" vertical="center" wrapText="1"/>
    </xf>
    <xf numFmtId="0" fontId="15" fillId="0" borderId="0" xfId="0" applyFont="1" applyAlignment="1">
      <alignment horizontal="left" vertical="center" wrapText="1" indent="1"/>
    </xf>
    <xf numFmtId="173" fontId="15" fillId="0" borderId="0" xfId="0" applyNumberFormat="1" applyFont="1" applyAlignment="1">
      <alignment horizontal="center" vertical="center" wrapText="1"/>
    </xf>
    <xf numFmtId="0" fontId="15" fillId="0" borderId="15" xfId="0" applyFont="1" applyBorder="1" applyAlignment="1">
      <alignment horizontal="left" vertical="center" wrapText="1" indent="1"/>
    </xf>
    <xf numFmtId="164" fontId="15" fillId="0" borderId="15" xfId="0" applyNumberFormat="1" applyFont="1" applyBorder="1" applyAlignment="1">
      <alignment horizontal="center" vertical="center" wrapText="1"/>
    </xf>
    <xf numFmtId="173" fontId="15" fillId="0" borderId="15" xfId="0" applyNumberFormat="1" applyFont="1" applyBorder="1" applyAlignment="1">
      <alignment horizontal="center" vertical="center" wrapText="1"/>
    </xf>
    <xf numFmtId="0" fontId="15" fillId="0" borderId="14" xfId="0" applyFont="1" applyBorder="1" applyAlignment="1">
      <alignment horizontal="left" vertical="center" wrapText="1" indent="1"/>
    </xf>
    <xf numFmtId="164" fontId="15" fillId="0" borderId="14" xfId="0" applyNumberFormat="1" applyFont="1" applyBorder="1" applyAlignment="1">
      <alignment horizontal="center" vertical="center" wrapText="1"/>
    </xf>
    <xf numFmtId="173" fontId="15" fillId="0" borderId="14" xfId="0" applyNumberFormat="1" applyFont="1" applyBorder="1" applyAlignment="1">
      <alignment horizontal="center" vertical="center" wrapText="1"/>
    </xf>
    <xf numFmtId="164" fontId="15" fillId="0" borderId="14" xfId="0" applyNumberFormat="1" applyFont="1" applyBorder="1" applyAlignment="1">
      <alignment horizontal="right" vertical="center" wrapText="1"/>
    </xf>
    <xf numFmtId="0" fontId="15" fillId="0" borderId="22" xfId="0" applyFont="1" applyBorder="1" applyAlignment="1">
      <alignment horizontal="center"/>
    </xf>
    <xf numFmtId="2" fontId="27" fillId="0" borderId="23" xfId="0" applyNumberFormat="1" applyFont="1" applyBorder="1"/>
    <xf numFmtId="2" fontId="27" fillId="0" borderId="22" xfId="0" applyNumberFormat="1" applyFont="1" applyBorder="1"/>
    <xf numFmtId="2" fontId="15" fillId="0" borderId="23" xfId="0" applyNumberFormat="1" applyFont="1" applyBorder="1"/>
    <xf numFmtId="2" fontId="15" fillId="0" borderId="22" xfId="0" applyNumberFormat="1" applyFont="1" applyBorder="1"/>
    <xf numFmtId="2" fontId="15" fillId="0" borderId="21" xfId="0" applyNumberFormat="1" applyFont="1" applyBorder="1"/>
    <xf numFmtId="0" fontId="15" fillId="0" borderId="15" xfId="0" applyFont="1" applyBorder="1"/>
    <xf numFmtId="164" fontId="15" fillId="0" borderId="15" xfId="0" applyNumberFormat="1" applyFont="1" applyBorder="1" applyAlignment="1">
      <alignment horizontal="right" vertical="center" wrapText="1"/>
    </xf>
    <xf numFmtId="0" fontId="27" fillId="0" borderId="14" xfId="0" applyFont="1" applyBorder="1" applyAlignment="1">
      <alignment horizontal="center" vertical="top" wrapText="1"/>
    </xf>
    <xf numFmtId="0" fontId="30" fillId="0" borderId="14" xfId="0" applyFont="1" applyBorder="1" applyAlignment="1">
      <alignment horizontal="center"/>
    </xf>
    <xf numFmtId="0" fontId="15" fillId="0" borderId="14" xfId="0" applyFont="1" applyBorder="1" applyAlignment="1">
      <alignment horizontal="center"/>
    </xf>
    <xf numFmtId="0" fontId="15" fillId="0" borderId="15" xfId="0" applyFont="1" applyBorder="1" applyAlignment="1">
      <alignment horizontal="center"/>
    </xf>
    <xf numFmtId="0" fontId="15" fillId="0" borderId="24" xfId="0" applyFont="1" applyBorder="1" applyAlignment="1">
      <alignment horizontal="center"/>
    </xf>
    <xf numFmtId="164" fontId="15" fillId="0" borderId="24" xfId="0" applyNumberFormat="1" applyFont="1" applyBorder="1"/>
    <xf numFmtId="164" fontId="15" fillId="0" borderId="25" xfId="0" applyNumberFormat="1" applyFont="1" applyBorder="1"/>
    <xf numFmtId="164" fontId="15" fillId="0" borderId="26" xfId="0" applyNumberFormat="1" applyFont="1" applyBorder="1"/>
    <xf numFmtId="0" fontId="76" fillId="0" borderId="15" xfId="0" applyFont="1" applyBorder="1"/>
    <xf numFmtId="0" fontId="75" fillId="0" borderId="15" xfId="0" applyFont="1" applyBorder="1"/>
    <xf numFmtId="0" fontId="76" fillId="0" borderId="15" xfId="0" applyFont="1" applyBorder="1" applyAlignment="1">
      <alignment vertical="top"/>
    </xf>
    <xf numFmtId="0" fontId="76" fillId="0" borderId="15" xfId="0" applyFont="1" applyBorder="1" applyAlignment="1">
      <alignment horizontal="left" vertical="top"/>
    </xf>
    <xf numFmtId="0" fontId="15" fillId="0" borderId="6" xfId="0" applyFont="1" applyBorder="1"/>
    <xf numFmtId="0" fontId="12" fillId="0" borderId="14" xfId="1" applyFont="1" applyBorder="1" applyAlignment="1">
      <alignment horizontal="center"/>
    </xf>
    <xf numFmtId="164" fontId="15" fillId="0" borderId="14" xfId="0" applyNumberFormat="1" applyFont="1" applyBorder="1" applyAlignment="1">
      <alignment horizontal="right"/>
    </xf>
    <xf numFmtId="164" fontId="15" fillId="0" borderId="0" xfId="0" applyNumberFormat="1" applyFont="1" applyAlignment="1">
      <alignment horizontal="right"/>
    </xf>
    <xf numFmtId="164" fontId="15" fillId="0" borderId="15" xfId="0" applyNumberFormat="1" applyFont="1" applyBorder="1" applyAlignment="1">
      <alignment horizontal="right"/>
    </xf>
    <xf numFmtId="0" fontId="5" fillId="0" borderId="2" xfId="0" applyFont="1" applyBorder="1" applyAlignment="1">
      <alignment vertical="center"/>
    </xf>
    <xf numFmtId="0" fontId="5" fillId="0" borderId="2" xfId="0" applyFont="1" applyBorder="1"/>
    <xf numFmtId="0" fontId="15" fillId="0" borderId="2" xfId="0" applyFont="1" applyBorder="1"/>
    <xf numFmtId="164" fontId="15" fillId="0" borderId="2" xfId="0" applyNumberFormat="1" applyFont="1" applyBorder="1" applyAlignment="1">
      <alignment horizontal="center"/>
    </xf>
    <xf numFmtId="0" fontId="15" fillId="0" borderId="27" xfId="0" applyFont="1" applyBorder="1" applyAlignment="1">
      <alignment horizontal="center"/>
    </xf>
    <xf numFmtId="0" fontId="15" fillId="0" borderId="2" xfId="0" applyFont="1" applyBorder="1" applyAlignment="1">
      <alignment horizontal="center"/>
    </xf>
    <xf numFmtId="164" fontId="15" fillId="0" borderId="2" xfId="0" applyNumberFormat="1" applyFont="1" applyBorder="1" applyAlignment="1">
      <alignment horizontal="center" vertical="center"/>
    </xf>
    <xf numFmtId="0" fontId="12" fillId="0" borderId="15" xfId="1" applyFont="1" applyBorder="1" applyAlignment="1">
      <alignment horizontal="center"/>
    </xf>
    <xf numFmtId="0" fontId="30" fillId="0" borderId="15" xfId="0" applyFont="1" applyBorder="1"/>
    <xf numFmtId="164" fontId="30" fillId="0" borderId="0" xfId="0" applyNumberFormat="1" applyFont="1"/>
    <xf numFmtId="0" fontId="59" fillId="0" borderId="15" xfId="1" applyFont="1" applyBorder="1"/>
    <xf numFmtId="170" fontId="30" fillId="0" borderId="15" xfId="0" applyNumberFormat="1" applyFont="1" applyBorder="1"/>
    <xf numFmtId="0" fontId="59" fillId="0" borderId="14" xfId="1" applyFont="1" applyBorder="1"/>
    <xf numFmtId="164" fontId="30" fillId="0" borderId="14" xfId="0" applyNumberFormat="1" applyFont="1" applyBorder="1"/>
    <xf numFmtId="0" fontId="30" fillId="5" borderId="0" xfId="0" applyFont="1" applyFill="1" applyAlignment="1">
      <alignment horizontal="center"/>
    </xf>
    <xf numFmtId="0" fontId="5" fillId="0" borderId="28" xfId="0" applyFont="1" applyBorder="1" applyAlignment="1">
      <alignment horizontal="left" vertical="center" wrapText="1" indent="1"/>
    </xf>
    <xf numFmtId="0" fontId="5" fillId="0" borderId="1" xfId="0" applyFont="1" applyBorder="1" applyAlignment="1">
      <alignment horizontal="left" vertical="center" wrapText="1" indent="1"/>
    </xf>
    <xf numFmtId="0" fontId="15" fillId="0" borderId="0" xfId="0" applyFont="1" applyAlignment="1">
      <alignment vertical="center"/>
    </xf>
    <xf numFmtId="164" fontId="15" fillId="0" borderId="0" xfId="0" applyNumberFormat="1" applyFont="1" applyAlignment="1">
      <alignment horizontal="right" vertical="center"/>
    </xf>
    <xf numFmtId="0" fontId="15" fillId="0" borderId="15" xfId="0" applyFont="1" applyBorder="1" applyAlignment="1">
      <alignment vertical="center"/>
    </xf>
    <xf numFmtId="164" fontId="15" fillId="0" borderId="15" xfId="0" applyNumberFormat="1" applyFont="1" applyBorder="1" applyAlignment="1">
      <alignment horizontal="right" vertical="center"/>
    </xf>
    <xf numFmtId="0" fontId="15" fillId="0" borderId="14" xfId="0" applyFont="1" applyBorder="1" applyAlignment="1">
      <alignment vertical="center"/>
    </xf>
    <xf numFmtId="164" fontId="15" fillId="0" borderId="14" xfId="0" applyNumberFormat="1" applyFont="1" applyBorder="1" applyAlignment="1">
      <alignment horizontal="right" vertical="center"/>
    </xf>
    <xf numFmtId="0" fontId="30" fillId="0" borderId="0" xfId="0" applyFont="1" applyAlignment="1">
      <alignment wrapText="1"/>
    </xf>
    <xf numFmtId="0" fontId="30" fillId="0" borderId="15" xfId="0" applyFont="1" applyBorder="1" applyAlignment="1">
      <alignment wrapText="1"/>
    </xf>
    <xf numFmtId="164" fontId="30" fillId="0" borderId="15" xfId="0" applyNumberFormat="1" applyFont="1" applyBorder="1"/>
    <xf numFmtId="0" fontId="27" fillId="0" borderId="14" xfId="0" applyFont="1" applyBorder="1" applyAlignment="1">
      <alignment horizontal="center" vertical="center" wrapText="1"/>
    </xf>
    <xf numFmtId="0" fontId="30" fillId="0" borderId="14" xfId="0" applyFont="1" applyBorder="1" applyAlignment="1">
      <alignment vertical="center"/>
    </xf>
    <xf numFmtId="0" fontId="30" fillId="0" borderId="0" xfId="0" applyFont="1" applyAlignment="1">
      <alignment vertical="center"/>
    </xf>
    <xf numFmtId="0" fontId="30" fillId="0" borderId="15" xfId="0" applyFont="1" applyBorder="1" applyAlignment="1">
      <alignment vertical="center"/>
    </xf>
    <xf numFmtId="0" fontId="0" fillId="0" borderId="27" xfId="0" applyBorder="1"/>
    <xf numFmtId="0" fontId="27" fillId="0" borderId="15" xfId="0" applyFont="1" applyBorder="1" applyAlignment="1">
      <alignment horizontal="left" vertical="center"/>
    </xf>
    <xf numFmtId="0" fontId="27" fillId="0" borderId="0" xfId="0" applyFont="1" applyAlignment="1">
      <alignment horizontal="center" vertical="center" wrapText="1"/>
    </xf>
    <xf numFmtId="0" fontId="27" fillId="0" borderId="15" xfId="0" applyFont="1" applyBorder="1" applyAlignment="1">
      <alignment horizontal="center" vertical="center" wrapText="1"/>
    </xf>
    <xf numFmtId="0" fontId="27" fillId="0" borderId="14" xfId="0" applyFont="1" applyBorder="1" applyAlignment="1">
      <alignment horizontal="left" vertical="center"/>
    </xf>
    <xf numFmtId="165" fontId="15" fillId="0" borderId="0" xfId="0" applyNumberFormat="1" applyFont="1" applyAlignment="1">
      <alignment horizontal="center" vertical="top" wrapText="1"/>
    </xf>
    <xf numFmtId="0" fontId="15" fillId="0" borderId="0" xfId="0" applyFont="1" applyAlignment="1">
      <alignment horizontal="center" vertical="center" wrapText="1"/>
    </xf>
    <xf numFmtId="0" fontId="27" fillId="0" borderId="14" xfId="0" applyFont="1" applyBorder="1" applyAlignment="1">
      <alignment horizontal="center" vertical="center"/>
    </xf>
    <xf numFmtId="49" fontId="30" fillId="0" borderId="0" xfId="0" applyNumberFormat="1" applyFont="1" applyAlignment="1">
      <alignment horizontal="left" vertical="center"/>
    </xf>
    <xf numFmtId="49" fontId="15" fillId="0" borderId="0" xfId="0" applyNumberFormat="1" applyFont="1" applyAlignment="1">
      <alignment horizontal="left" vertical="center"/>
    </xf>
    <xf numFmtId="0" fontId="27" fillId="0" borderId="0" xfId="0" applyFont="1"/>
    <xf numFmtId="0" fontId="40" fillId="0" borderId="0" xfId="0" applyFont="1" applyAlignment="1">
      <alignment horizontal="left" vertical="center" wrapText="1" indent="1"/>
    </xf>
    <xf numFmtId="0" fontId="30" fillId="0" borderId="0" xfId="0" applyFont="1" applyAlignment="1">
      <alignment horizontal="left" vertical="center" wrapText="1" indent="1"/>
    </xf>
    <xf numFmtId="0" fontId="30" fillId="0" borderId="23" xfId="0" applyFont="1" applyBorder="1" applyAlignment="1">
      <alignment horizontal="center"/>
    </xf>
    <xf numFmtId="0" fontId="30" fillId="0" borderId="26" xfId="0" applyFont="1" applyBorder="1" applyAlignment="1">
      <alignment horizontal="center"/>
    </xf>
    <xf numFmtId="0" fontId="30" fillId="0" borderId="14" xfId="0" applyFont="1" applyBorder="1" applyAlignment="1">
      <alignment horizontal="center" vertical="center" wrapText="1"/>
    </xf>
    <xf numFmtId="0" fontId="30" fillId="0" borderId="14" xfId="0" applyFont="1" applyBorder="1" applyAlignment="1">
      <alignment horizontal="right" vertical="center"/>
    </xf>
    <xf numFmtId="0" fontId="30" fillId="0" borderId="14" xfId="0" applyFont="1" applyBorder="1" applyAlignment="1">
      <alignment horizontal="right"/>
    </xf>
    <xf numFmtId="0" fontId="15" fillId="0" borderId="15" xfId="0" applyFont="1" applyBorder="1" applyAlignment="1">
      <alignment horizontal="center" vertical="center" wrapText="1"/>
    </xf>
    <xf numFmtId="1" fontId="15" fillId="0" borderId="14" xfId="0" applyNumberFormat="1" applyFont="1" applyBorder="1" applyAlignment="1">
      <alignment horizontal="right" vertical="center" wrapText="1"/>
    </xf>
    <xf numFmtId="1" fontId="15" fillId="0" borderId="14" xfId="0" applyNumberFormat="1" applyFont="1" applyBorder="1"/>
    <xf numFmtId="1" fontId="15" fillId="0" borderId="14" xfId="0" applyNumberFormat="1" applyFont="1" applyBorder="1" applyAlignment="1">
      <alignment horizontal="right" vertical="center"/>
    </xf>
    <xf numFmtId="165" fontId="15" fillId="0" borderId="14" xfId="0" applyNumberFormat="1" applyFont="1" applyBorder="1" applyAlignment="1">
      <alignment horizontal="right" vertical="center"/>
    </xf>
    <xf numFmtId="0" fontId="15" fillId="0" borderId="14" xfId="0" applyFont="1" applyBorder="1" applyAlignment="1">
      <alignment horizontal="right" vertical="center"/>
    </xf>
    <xf numFmtId="170" fontId="15" fillId="0" borderId="14" xfId="0" applyNumberFormat="1" applyFont="1" applyBorder="1" applyAlignment="1">
      <alignment horizontal="right" vertical="center"/>
    </xf>
    <xf numFmtId="1" fontId="15" fillId="0" borderId="0" xfId="0" applyNumberFormat="1" applyFont="1" applyAlignment="1">
      <alignment horizontal="right" vertical="center" wrapText="1"/>
    </xf>
    <xf numFmtId="1" fontId="15" fillId="0" borderId="0" xfId="0" applyNumberFormat="1" applyFont="1"/>
    <xf numFmtId="164" fontId="15" fillId="0" borderId="0" xfId="0" applyNumberFormat="1" applyFont="1" applyAlignment="1">
      <alignment vertical="center"/>
    </xf>
    <xf numFmtId="1" fontId="15" fillId="0" borderId="0" xfId="0" applyNumberFormat="1" applyFont="1" applyAlignment="1">
      <alignment horizontal="right" vertical="center"/>
    </xf>
    <xf numFmtId="165" fontId="15" fillId="0" borderId="0" xfId="0" applyNumberFormat="1" applyFont="1" applyAlignment="1">
      <alignment horizontal="right" vertical="center"/>
    </xf>
    <xf numFmtId="170" fontId="15" fillId="0" borderId="0" xfId="0" applyNumberFormat="1" applyFont="1" applyAlignment="1">
      <alignment horizontal="right" vertical="center"/>
    </xf>
    <xf numFmtId="0" fontId="15" fillId="0" borderId="0" xfId="0" applyFont="1" applyAlignment="1">
      <alignment horizontal="right" vertical="center"/>
    </xf>
    <xf numFmtId="2" fontId="15" fillId="0" borderId="0" xfId="0" applyNumberFormat="1" applyFont="1" applyAlignment="1">
      <alignment horizontal="right" vertical="center"/>
    </xf>
    <xf numFmtId="1" fontId="15" fillId="0" borderId="15" xfId="0" applyNumberFormat="1" applyFont="1" applyBorder="1" applyAlignment="1">
      <alignment horizontal="right" vertical="center" wrapText="1"/>
    </xf>
    <xf numFmtId="1" fontId="15" fillId="0" borderId="15" xfId="0" applyNumberFormat="1" applyFont="1" applyBorder="1"/>
    <xf numFmtId="164" fontId="15" fillId="0" borderId="15" xfId="0" applyNumberFormat="1" applyFont="1" applyBorder="1" applyAlignment="1">
      <alignment vertical="center"/>
    </xf>
    <xf numFmtId="0" fontId="15" fillId="0" borderId="15" xfId="0" applyFont="1" applyBorder="1" applyAlignment="1">
      <alignment horizontal="right" vertical="center"/>
    </xf>
    <xf numFmtId="2" fontId="15" fillId="0" borderId="15" xfId="0" applyNumberFormat="1" applyFont="1" applyBorder="1" applyAlignment="1">
      <alignment horizontal="right"/>
    </xf>
    <xf numFmtId="1" fontId="15" fillId="0" borderId="15" xfId="0" applyNumberFormat="1" applyFont="1" applyBorder="1" applyAlignment="1">
      <alignment horizontal="right" vertical="center"/>
    </xf>
    <xf numFmtId="165" fontId="15" fillId="0" borderId="15" xfId="0" applyNumberFormat="1" applyFont="1" applyBorder="1" applyAlignment="1">
      <alignment horizontal="right" vertical="center"/>
    </xf>
    <xf numFmtId="170" fontId="15" fillId="0" borderId="15" xfId="0" applyNumberFormat="1" applyFont="1" applyBorder="1" applyAlignment="1">
      <alignment horizontal="right" vertical="center"/>
    </xf>
    <xf numFmtId="0" fontId="27" fillId="0" borderId="6" xfId="0" applyFont="1" applyBorder="1" applyAlignment="1">
      <alignment horizontal="center" vertical="center" wrapText="1"/>
    </xf>
    <xf numFmtId="1" fontId="15" fillId="0" borderId="14" xfId="0" applyNumberFormat="1" applyFont="1" applyBorder="1" applyAlignment="1">
      <alignment horizontal="center" vertical="center" wrapText="1"/>
    </xf>
    <xf numFmtId="165" fontId="15" fillId="0" borderId="14" xfId="0" applyNumberFormat="1" applyFont="1" applyBorder="1" applyAlignment="1">
      <alignment horizontal="center" vertical="top" wrapText="1"/>
    </xf>
    <xf numFmtId="0" fontId="15" fillId="0" borderId="14" xfId="0" applyFont="1" applyBorder="1" applyAlignment="1">
      <alignment horizontal="center" vertical="center" wrapText="1"/>
    </xf>
    <xf numFmtId="1" fontId="15" fillId="0" borderId="0" xfId="0" applyNumberFormat="1" applyFont="1" applyAlignment="1">
      <alignment horizontal="center" vertical="center" wrapText="1"/>
    </xf>
    <xf numFmtId="1" fontId="15" fillId="0" borderId="15" xfId="0" applyNumberFormat="1" applyFont="1" applyBorder="1" applyAlignment="1">
      <alignment horizontal="center" vertical="center" wrapText="1"/>
    </xf>
    <xf numFmtId="165" fontId="15" fillId="0" borderId="15" xfId="0" applyNumberFormat="1" applyFont="1" applyBorder="1" applyAlignment="1">
      <alignment horizontal="center" vertical="top" wrapText="1"/>
    </xf>
    <xf numFmtId="0" fontId="0" fillId="0" borderId="9" xfId="0" applyBorder="1"/>
    <xf numFmtId="0" fontId="5" fillId="0" borderId="2" xfId="0" applyFont="1" applyBorder="1" applyAlignment="1">
      <alignment vertical="center" wrapText="1"/>
    </xf>
    <xf numFmtId="2" fontId="15" fillId="0" borderId="14" xfId="0" applyNumberFormat="1" applyFont="1" applyBorder="1" applyAlignment="1">
      <alignment horizontal="center" vertical="center" wrapText="1"/>
    </xf>
    <xf numFmtId="2" fontId="15" fillId="0" borderId="15" xfId="0" applyNumberFormat="1" applyFont="1" applyBorder="1" applyAlignment="1">
      <alignment horizontal="center" vertical="center" wrapText="1"/>
    </xf>
    <xf numFmtId="0" fontId="40" fillId="0" borderId="6" xfId="0" applyFont="1" applyBorder="1" applyAlignment="1">
      <alignment horizontal="center" vertical="center" wrapText="1"/>
    </xf>
    <xf numFmtId="0" fontId="30" fillId="0" borderId="6" xfId="0" applyFont="1" applyBorder="1" applyAlignment="1">
      <alignment horizontal="center" vertical="center" wrapText="1"/>
    </xf>
    <xf numFmtId="0" fontId="15" fillId="0" borderId="6" xfId="0" applyFont="1" applyBorder="1" applyAlignment="1">
      <alignment horizontal="center" vertical="center" wrapText="1"/>
    </xf>
    <xf numFmtId="0" fontId="30" fillId="0" borderId="16" xfId="0" applyFont="1" applyBorder="1" applyAlignment="1">
      <alignment horizontal="center" vertical="center"/>
    </xf>
    <xf numFmtId="0" fontId="30" fillId="0" borderId="14" xfId="0" applyFont="1" applyBorder="1" applyAlignment="1">
      <alignment horizontal="center" vertical="center"/>
    </xf>
    <xf numFmtId="0" fontId="30" fillId="0" borderId="19" xfId="0" applyFont="1" applyBorder="1" applyAlignment="1">
      <alignment horizontal="center" vertical="center"/>
    </xf>
    <xf numFmtId="0" fontId="15" fillId="0" borderId="4" xfId="0" applyFont="1" applyBorder="1" applyAlignment="1">
      <alignment horizontal="center" vertical="center"/>
    </xf>
    <xf numFmtId="0" fontId="15" fillId="0" borderId="8" xfId="0" applyFont="1" applyBorder="1" applyAlignment="1">
      <alignment horizontal="center" vertical="center"/>
    </xf>
    <xf numFmtId="0" fontId="60" fillId="0" borderId="3" xfId="0" applyFont="1" applyBorder="1" applyAlignment="1">
      <alignment horizontal="center"/>
    </xf>
    <xf numFmtId="0" fontId="30" fillId="0" borderId="3" xfId="0" applyFont="1" applyBorder="1" applyAlignment="1">
      <alignment horizontal="center" vertical="center"/>
    </xf>
    <xf numFmtId="0" fontId="30" fillId="0" borderId="1" xfId="0" applyFont="1" applyBorder="1" applyAlignment="1">
      <alignment horizontal="left" vertical="center" wrapText="1"/>
    </xf>
    <xf numFmtId="0" fontId="30" fillId="0" borderId="4" xfId="0" applyFont="1" applyBorder="1" applyAlignment="1">
      <alignment horizontal="left" vertical="center" wrapText="1"/>
    </xf>
    <xf numFmtId="0" fontId="40" fillId="0" borderId="17" xfId="0" applyFont="1" applyBorder="1" applyAlignment="1">
      <alignment horizontal="center" vertical="center" wrapText="1"/>
    </xf>
    <xf numFmtId="0" fontId="40" fillId="0" borderId="0" xfId="0" applyFont="1" applyAlignment="1">
      <alignment horizontal="center" vertical="center" wrapText="1"/>
    </xf>
    <xf numFmtId="164" fontId="30" fillId="0" borderId="5" xfId="0" applyNumberFormat="1" applyFont="1" applyBorder="1" applyAlignment="1">
      <alignment horizontal="center"/>
    </xf>
    <xf numFmtId="164" fontId="30" fillId="0" borderId="6" xfId="0" applyNumberFormat="1" applyFont="1" applyBorder="1" applyAlignment="1">
      <alignment horizontal="center"/>
    </xf>
    <xf numFmtId="164" fontId="30" fillId="0" borderId="7" xfId="0" applyNumberFormat="1" applyFont="1" applyBorder="1" applyAlignment="1">
      <alignment horizontal="center"/>
    </xf>
    <xf numFmtId="0" fontId="40" fillId="0" borderId="2" xfId="0" applyFont="1" applyBorder="1" applyAlignment="1">
      <alignment horizontal="left" vertical="center" wrapText="1" indent="1"/>
    </xf>
    <xf numFmtId="0" fontId="30" fillId="0" borderId="2" xfId="0" applyFont="1" applyBorder="1" applyAlignment="1">
      <alignment horizontal="left" vertical="center" wrapText="1" indent="1"/>
    </xf>
    <xf numFmtId="0" fontId="30" fillId="0" borderId="3" xfId="0" applyFont="1" applyBorder="1" applyAlignment="1">
      <alignment horizontal="left" vertical="center" wrapText="1" indent="1"/>
    </xf>
    <xf numFmtId="0" fontId="40" fillId="0" borderId="3" xfId="0" applyFont="1" applyBorder="1" applyAlignment="1">
      <alignment horizontal="left" vertical="top" wrapText="1" indent="1"/>
    </xf>
    <xf numFmtId="0" fontId="30" fillId="0" borderId="3" xfId="0" applyFont="1" applyBorder="1" applyAlignment="1">
      <alignment horizontal="left" vertical="top" wrapText="1" indent="1"/>
    </xf>
    <xf numFmtId="0" fontId="6" fillId="0" borderId="3" xfId="0" applyFont="1" applyBorder="1" applyAlignment="1">
      <alignment horizontal="right" vertical="center" wrapText="1" indent="11"/>
    </xf>
    <xf numFmtId="0" fontId="44" fillId="0" borderId="3" xfId="0" applyFont="1" applyBorder="1" applyAlignment="1">
      <alignment horizontal="right" vertical="center" wrapText="1" indent="11"/>
    </xf>
    <xf numFmtId="0" fontId="4" fillId="0" borderId="3" xfId="0" applyFont="1" applyBorder="1" applyAlignment="1">
      <alignment horizontal="right" vertical="center" wrapText="1" indent="12"/>
    </xf>
    <xf numFmtId="0" fontId="4" fillId="0" borderId="3" xfId="0" applyFont="1" applyBorder="1" applyAlignment="1">
      <alignment horizontal="left" vertical="center" wrapText="1" indent="12"/>
    </xf>
    <xf numFmtId="0" fontId="4" fillId="0" borderId="3" xfId="0" applyFont="1" applyBorder="1" applyAlignment="1">
      <alignment horizontal="right" vertical="center" wrapText="1" indent="10"/>
    </xf>
    <xf numFmtId="0" fontId="4" fillId="0" borderId="3" xfId="0" applyFont="1" applyBorder="1" applyAlignment="1">
      <alignment horizontal="right"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61" fillId="0" borderId="3" xfId="0" applyFont="1" applyBorder="1" applyAlignment="1">
      <alignment horizontal="left" vertical="top" wrapText="1" indent="1"/>
    </xf>
    <xf numFmtId="0" fontId="6" fillId="0" borderId="3" xfId="0" applyFont="1" applyBorder="1" applyAlignment="1">
      <alignment horizontal="center" vertical="top" wrapText="1"/>
    </xf>
    <xf numFmtId="0" fontId="4" fillId="0" borderId="3" xfId="0" applyFont="1" applyBorder="1" applyAlignment="1">
      <alignment horizontal="center" vertical="top" wrapText="1"/>
    </xf>
    <xf numFmtId="0" fontId="4" fillId="0" borderId="1" xfId="0" applyFont="1" applyBorder="1" applyAlignment="1">
      <alignment horizontal="center" vertical="center" wrapText="1"/>
    </xf>
    <xf numFmtId="0" fontId="4" fillId="0" borderId="1" xfId="0" applyFont="1" applyBorder="1" applyAlignment="1">
      <alignment horizontal="right" vertical="center" wrapText="1"/>
    </xf>
    <xf numFmtId="0" fontId="5" fillId="0" borderId="1" xfId="0" applyFont="1" applyBorder="1" applyAlignment="1">
      <alignment horizontal="left" vertical="center" wrapText="1" indent="2"/>
    </xf>
    <xf numFmtId="0" fontId="4" fillId="0" borderId="5" xfId="0" applyFont="1" applyBorder="1" applyAlignment="1">
      <alignment horizontal="right" vertical="center" wrapText="1" indent="15"/>
    </xf>
    <xf numFmtId="0" fontId="4" fillId="0" borderId="6" xfId="0" applyFont="1" applyBorder="1" applyAlignment="1">
      <alignment horizontal="right" vertical="center" wrapText="1" indent="15"/>
    </xf>
    <xf numFmtId="0" fontId="4" fillId="0" borderId="7" xfId="0" applyFont="1" applyBorder="1" applyAlignment="1">
      <alignment horizontal="right" vertical="center" wrapText="1" indent="15"/>
    </xf>
    <xf numFmtId="0" fontId="4" fillId="0" borderId="3" xfId="0" applyFont="1" applyBorder="1" applyAlignment="1">
      <alignment horizontal="right" vertical="center" wrapText="1" indent="1"/>
    </xf>
    <xf numFmtId="0" fontId="4" fillId="0" borderId="3" xfId="0" applyFont="1" applyBorder="1" applyAlignment="1">
      <alignment horizontal="left" vertical="center" wrapText="1" indent="1"/>
    </xf>
    <xf numFmtId="0" fontId="5" fillId="0" borderId="3" xfId="0" applyFont="1" applyBorder="1" applyAlignment="1">
      <alignment horizontal="right" vertical="center" wrapText="1" indent="6"/>
    </xf>
    <xf numFmtId="0" fontId="5" fillId="0" borderId="1" xfId="0" applyFont="1" applyBorder="1" applyAlignment="1">
      <alignment horizontal="center" vertical="top" wrapText="1"/>
    </xf>
    <xf numFmtId="0" fontId="5" fillId="0" borderId="1" xfId="0" applyFont="1" applyBorder="1" applyAlignment="1">
      <alignment horizontal="right" vertical="center" wrapText="1" indent="1"/>
    </xf>
    <xf numFmtId="0" fontId="4" fillId="0" borderId="3" xfId="0" applyFont="1" applyBorder="1" applyAlignment="1">
      <alignment horizontal="right" vertical="center" wrapText="1" indent="15"/>
    </xf>
    <xf numFmtId="0" fontId="4" fillId="0" borderId="5" xfId="0" applyFont="1" applyBorder="1" applyAlignment="1">
      <alignment horizontal="right" vertical="center" wrapText="1" indent="1"/>
    </xf>
    <xf numFmtId="0" fontId="4" fillId="0" borderId="7" xfId="0" applyFont="1" applyBorder="1" applyAlignment="1">
      <alignment horizontal="right" vertical="center" wrapText="1" indent="1"/>
    </xf>
    <xf numFmtId="0" fontId="4" fillId="0" borderId="5" xfId="0" applyFont="1" applyBorder="1" applyAlignment="1">
      <alignment horizontal="left" vertical="center" wrapText="1" inden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4" fillId="0" borderId="7" xfId="0" applyFont="1" applyBorder="1" applyAlignment="1">
      <alignment horizontal="center" vertical="top" wrapText="1"/>
    </xf>
    <xf numFmtId="0" fontId="5" fillId="0" borderId="5" xfId="0" applyFont="1" applyBorder="1" applyAlignment="1">
      <alignment horizontal="right" vertical="center" wrapText="1" indent="6"/>
    </xf>
    <xf numFmtId="0" fontId="5" fillId="0" borderId="7" xfId="0" applyFont="1" applyBorder="1" applyAlignment="1">
      <alignment horizontal="right" vertical="center" wrapText="1" indent="6"/>
    </xf>
    <xf numFmtId="0" fontId="5" fillId="0" borderId="4" xfId="0" applyFont="1" applyBorder="1" applyAlignment="1">
      <alignment horizontal="center" vertical="top" wrapText="1"/>
    </xf>
    <xf numFmtId="0" fontId="5" fillId="0" borderId="13" xfId="0" applyFont="1" applyBorder="1" applyAlignment="1">
      <alignment horizontal="center" vertical="top" wrapText="1"/>
    </xf>
    <xf numFmtId="0" fontId="5" fillId="0" borderId="12" xfId="0" applyFont="1" applyBorder="1" applyAlignment="1">
      <alignment horizontal="center" vertical="top" wrapText="1"/>
    </xf>
    <xf numFmtId="0" fontId="5" fillId="0" borderId="4" xfId="0" applyFont="1" applyBorder="1" applyAlignment="1">
      <alignment horizontal="right" vertical="center" wrapText="1" indent="1"/>
    </xf>
    <xf numFmtId="0" fontId="5" fillId="0" borderId="13" xfId="0" applyFont="1" applyBorder="1" applyAlignment="1">
      <alignment horizontal="right" vertical="center" wrapText="1" indent="1"/>
    </xf>
    <xf numFmtId="0" fontId="5" fillId="0" borderId="12" xfId="0" applyFont="1" applyBorder="1" applyAlignment="1">
      <alignment horizontal="right" vertical="center" wrapText="1" indent="1"/>
    </xf>
    <xf numFmtId="0" fontId="5" fillId="0" borderId="4" xfId="0" applyFont="1" applyBorder="1" applyAlignment="1">
      <alignment horizontal="left" vertical="center" wrapText="1" indent="2"/>
    </xf>
    <xf numFmtId="0" fontId="5" fillId="0" borderId="13" xfId="0" applyFont="1" applyBorder="1" applyAlignment="1">
      <alignment horizontal="left" vertical="center" wrapText="1" indent="2"/>
    </xf>
    <xf numFmtId="0" fontId="5" fillId="0" borderId="12" xfId="0" applyFont="1" applyBorder="1" applyAlignment="1">
      <alignment horizontal="left" vertical="center" wrapText="1" indent="2"/>
    </xf>
    <xf numFmtId="0" fontId="5" fillId="0" borderId="1" xfId="0"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indent="2"/>
    </xf>
    <xf numFmtId="0" fontId="4" fillId="0" borderId="3" xfId="0" applyFont="1" applyBorder="1" applyAlignment="1">
      <alignment horizontal="left" vertical="center" wrapText="1" indent="15"/>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5" fillId="0" borderId="2" xfId="0" applyFont="1" applyBorder="1" applyAlignment="1">
      <alignment horizontal="left" vertical="center" wrapText="1" indent="1"/>
    </xf>
    <xf numFmtId="0" fontId="5" fillId="0" borderId="9" xfId="0" applyFont="1" applyBorder="1" applyAlignment="1">
      <alignment horizontal="left" vertical="center" wrapText="1" indent="1"/>
    </xf>
    <xf numFmtId="0" fontId="5" fillId="0" borderId="2"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 xfId="0" applyFont="1" applyBorder="1" applyAlignment="1">
      <alignment horizontal="right" vertical="top" wrapText="1" indent="15"/>
    </xf>
    <xf numFmtId="0" fontId="5" fillId="0" borderId="3" xfId="0" applyFont="1" applyBorder="1" applyAlignment="1">
      <alignment horizontal="left" vertical="top" wrapText="1" indent="1"/>
    </xf>
    <xf numFmtId="0" fontId="5" fillId="0" borderId="3" xfId="0" applyFont="1" applyBorder="1" applyAlignment="1">
      <alignment horizontal="right" vertical="center" wrapText="1" indent="15"/>
    </xf>
    <xf numFmtId="0" fontId="5" fillId="0" borderId="3" xfId="0" applyFont="1" applyBorder="1" applyAlignment="1">
      <alignment horizontal="center" vertical="top" wrapText="1"/>
    </xf>
    <xf numFmtId="0" fontId="0" fillId="0" borderId="3" xfId="0" applyBorder="1" applyAlignment="1">
      <alignment horizontal="left" vertical="top" wrapText="1"/>
    </xf>
    <xf numFmtId="0" fontId="5" fillId="0" borderId="3" xfId="0" applyFont="1" applyBorder="1" applyAlignment="1">
      <alignment horizontal="center" vertical="center" wrapText="1"/>
    </xf>
    <xf numFmtId="0" fontId="4" fillId="0" borderId="1" xfId="0" applyFont="1" applyBorder="1" applyAlignment="1">
      <alignment horizontal="right" vertical="center" wrapText="1" indent="15"/>
    </xf>
    <xf numFmtId="0" fontId="4" fillId="0" borderId="3" xfId="0" applyFont="1" applyBorder="1" applyAlignment="1">
      <alignment vertical="center" wrapText="1"/>
    </xf>
    <xf numFmtId="0" fontId="25" fillId="0" borderId="0" xfId="0" applyFont="1" applyAlignment="1">
      <alignment horizontal="center"/>
    </xf>
    <xf numFmtId="0" fontId="76" fillId="0" borderId="0" xfId="0" applyFont="1" applyAlignment="1">
      <alignment horizontal="left" vertical="center" wrapText="1"/>
    </xf>
  </cellXfs>
  <cellStyles count="11">
    <cellStyle name="Formula_1decpl" xfId="10" xr:uid="{00000000-0005-0000-0000-000000000000}"/>
    <cellStyle name="Normal" xfId="0" builtinId="0"/>
    <cellStyle name="Normal 2" xfId="1" xr:uid="{00000000-0005-0000-0000-000002000000}"/>
    <cellStyle name="Normal 2 2" xfId="3" xr:uid="{00000000-0005-0000-0000-000003000000}"/>
    <cellStyle name="Normal 3" xfId="2" xr:uid="{00000000-0005-0000-0000-000004000000}"/>
    <cellStyle name="Normal 3 2" xfId="5" xr:uid="{00000000-0005-0000-0000-000005000000}"/>
    <cellStyle name="Normal_Heading_Centre_small" xfId="6" xr:uid="{00000000-0005-0000-0000-000006000000}"/>
    <cellStyle name="Normal_Keytext" xfId="7" xr:uid="{00000000-0005-0000-0000-000007000000}"/>
    <cellStyle name="Number_0decpl" xfId="4" xr:uid="{00000000-0005-0000-0000-000008000000}"/>
    <cellStyle name="Number_percent" xfId="9" xr:uid="{00000000-0005-0000-0000-000009000000}"/>
    <cellStyle name="Number_percent_bold_1decpl" xfId="8" xr:uid="{00000000-0005-0000-0000-00000A000000}"/>
  </cellStyles>
  <dxfs count="0"/>
  <tableStyles count="0" defaultTableStyle="TableStyleMedium2" defaultPivotStyle="PivotStyleLight16"/>
  <colors>
    <mruColors>
      <color rgb="FF0033CC"/>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Summary!$V$83</c:f>
              <c:strCache>
                <c:ptCount val="1"/>
                <c:pt idx="0">
                  <c:v>CO₂</c:v>
                </c:pt>
              </c:strCache>
            </c:strRef>
          </c:tx>
          <c:spPr>
            <a:solidFill>
              <a:schemeClr val="accent3"/>
            </a:solidFill>
            <a:ln>
              <a:noFill/>
            </a:ln>
            <a:effectLst/>
          </c:spPr>
          <c:invertIfNegative val="0"/>
          <c:cat>
            <c:strRef>
              <c:f>Summary!$U$84:$U$88</c:f>
              <c:strCache>
                <c:ptCount val="5"/>
                <c:pt idx="0">
                  <c:v>Rotation</c:v>
                </c:pt>
                <c:pt idx="1">
                  <c:v>SRC</c:v>
                </c:pt>
                <c:pt idx="2">
                  <c:v>Miscanthus</c:v>
                </c:pt>
                <c:pt idx="3">
                  <c:v>Sida</c:v>
                </c:pt>
                <c:pt idx="4">
                  <c:v>Silphium</c:v>
                </c:pt>
              </c:strCache>
            </c:strRef>
          </c:cat>
          <c:val>
            <c:numRef>
              <c:f>Summary!$V$84:$V$88</c:f>
              <c:numCache>
                <c:formatCode>0.000</c:formatCode>
                <c:ptCount val="5"/>
                <c:pt idx="0">
                  <c:v>9.4026535730205207</c:v>
                </c:pt>
                <c:pt idx="1">
                  <c:v>-17.283862909372644</c:v>
                </c:pt>
                <c:pt idx="2">
                  <c:v>-5.606034729330343</c:v>
                </c:pt>
                <c:pt idx="3">
                  <c:v>2.4526386744909714</c:v>
                </c:pt>
                <c:pt idx="4">
                  <c:v>-55.463623564134267</c:v>
                </c:pt>
              </c:numCache>
            </c:numRef>
          </c:val>
          <c:extLst>
            <c:ext xmlns:c16="http://schemas.microsoft.com/office/drawing/2014/chart" uri="{C3380CC4-5D6E-409C-BE32-E72D297353CC}">
              <c16:uniqueId val="{00000000-02A2-4096-966D-83E6EBA2D6A3}"/>
            </c:ext>
          </c:extLst>
        </c:ser>
        <c:ser>
          <c:idx val="1"/>
          <c:order val="1"/>
          <c:tx>
            <c:strRef>
              <c:f>Summary!$W$83</c:f>
              <c:strCache>
                <c:ptCount val="1"/>
                <c:pt idx="0">
                  <c:v>CH₄</c:v>
                </c:pt>
              </c:strCache>
            </c:strRef>
          </c:tx>
          <c:spPr>
            <a:solidFill>
              <a:schemeClr val="accent2"/>
            </a:solidFill>
            <a:ln>
              <a:noFill/>
            </a:ln>
            <a:effectLst/>
          </c:spPr>
          <c:invertIfNegative val="0"/>
          <c:cat>
            <c:strRef>
              <c:f>Summary!$U$84:$U$88</c:f>
              <c:strCache>
                <c:ptCount val="5"/>
                <c:pt idx="0">
                  <c:v>Rotation</c:v>
                </c:pt>
                <c:pt idx="1">
                  <c:v>SRC</c:v>
                </c:pt>
                <c:pt idx="2">
                  <c:v>Miscanthus</c:v>
                </c:pt>
                <c:pt idx="3">
                  <c:v>Sida</c:v>
                </c:pt>
                <c:pt idx="4">
                  <c:v>Silphium</c:v>
                </c:pt>
              </c:strCache>
            </c:strRef>
          </c:cat>
          <c:val>
            <c:numRef>
              <c:f>Summary!$W$84:$W$88</c:f>
              <c:numCache>
                <c:formatCode>0.000</c:formatCode>
                <c:ptCount val="5"/>
                <c:pt idx="0">
                  <c:v>3.2957075264705642E-2</c:v>
                </c:pt>
                <c:pt idx="1">
                  <c:v>2.3712414462001168E-2</c:v>
                </c:pt>
                <c:pt idx="2">
                  <c:v>8.2392407065066502E-3</c:v>
                </c:pt>
                <c:pt idx="3">
                  <c:v>1.0994436819349614E-2</c:v>
                </c:pt>
                <c:pt idx="4">
                  <c:v>1.0601297963814904E-2</c:v>
                </c:pt>
              </c:numCache>
            </c:numRef>
          </c:val>
          <c:extLst>
            <c:ext xmlns:c16="http://schemas.microsoft.com/office/drawing/2014/chart" uri="{C3380CC4-5D6E-409C-BE32-E72D297353CC}">
              <c16:uniqueId val="{00000001-02A2-4096-966D-83E6EBA2D6A3}"/>
            </c:ext>
          </c:extLst>
        </c:ser>
        <c:ser>
          <c:idx val="2"/>
          <c:order val="2"/>
          <c:tx>
            <c:strRef>
              <c:f>Summary!$X$83</c:f>
              <c:strCache>
                <c:ptCount val="1"/>
                <c:pt idx="0">
                  <c:v>N₂O</c:v>
                </c:pt>
              </c:strCache>
            </c:strRef>
          </c:tx>
          <c:spPr>
            <a:solidFill>
              <a:srgbClr val="0033CC"/>
            </a:solidFill>
            <a:ln>
              <a:noFill/>
            </a:ln>
            <a:effectLst/>
          </c:spPr>
          <c:invertIfNegative val="0"/>
          <c:cat>
            <c:strRef>
              <c:f>Summary!$U$84:$U$88</c:f>
              <c:strCache>
                <c:ptCount val="5"/>
                <c:pt idx="0">
                  <c:v>Rotation</c:v>
                </c:pt>
                <c:pt idx="1">
                  <c:v>SRC</c:v>
                </c:pt>
                <c:pt idx="2">
                  <c:v>Miscanthus</c:v>
                </c:pt>
                <c:pt idx="3">
                  <c:v>Sida</c:v>
                </c:pt>
                <c:pt idx="4">
                  <c:v>Silphium</c:v>
                </c:pt>
              </c:strCache>
            </c:strRef>
          </c:cat>
          <c:val>
            <c:numRef>
              <c:f>Summary!$X$84:$X$88</c:f>
              <c:numCache>
                <c:formatCode>0.000</c:formatCode>
                <c:ptCount val="5"/>
                <c:pt idx="0">
                  <c:v>58.557567446037091</c:v>
                </c:pt>
                <c:pt idx="1">
                  <c:v>34.004871665168132</c:v>
                </c:pt>
                <c:pt idx="2">
                  <c:v>41.304032731038149</c:v>
                </c:pt>
                <c:pt idx="3">
                  <c:v>44.234482725497593</c:v>
                </c:pt>
                <c:pt idx="4">
                  <c:v>45.801170831434646</c:v>
                </c:pt>
              </c:numCache>
            </c:numRef>
          </c:val>
          <c:extLst>
            <c:ext xmlns:c16="http://schemas.microsoft.com/office/drawing/2014/chart" uri="{C3380CC4-5D6E-409C-BE32-E72D297353CC}">
              <c16:uniqueId val="{00000002-02A2-4096-966D-83E6EBA2D6A3}"/>
            </c:ext>
          </c:extLst>
        </c:ser>
        <c:dLbls>
          <c:showLegendKey val="0"/>
          <c:showVal val="0"/>
          <c:showCatName val="0"/>
          <c:showSerName val="0"/>
          <c:showPercent val="0"/>
          <c:showBubbleSize val="0"/>
        </c:dLbls>
        <c:gapWidth val="150"/>
        <c:overlap val="100"/>
        <c:axId val="1068150624"/>
        <c:axId val="1068150208"/>
      </c:barChart>
      <c:catAx>
        <c:axId val="1068150624"/>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68150208"/>
        <c:crosses val="autoZero"/>
        <c:auto val="1"/>
        <c:lblAlgn val="ctr"/>
        <c:lblOffset val="100"/>
        <c:noMultiLvlLbl val="0"/>
      </c:catAx>
      <c:valAx>
        <c:axId val="1068150208"/>
        <c:scaling>
          <c:orientation val="minMax"/>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rPr>
                  <a:t>GHG</a:t>
                </a:r>
                <a:r>
                  <a:rPr lang="en-GB" baseline="0">
                    <a:solidFill>
                      <a:sysClr val="windowText" lastClr="000000"/>
                    </a:solidFill>
                  </a:rPr>
                  <a:t> emissions (t CO</a:t>
                </a:r>
                <a:r>
                  <a:rPr lang="en-GB" baseline="-25000">
                    <a:solidFill>
                      <a:sysClr val="windowText" lastClr="000000"/>
                    </a:solidFill>
                  </a:rPr>
                  <a:t>2</a:t>
                </a:r>
                <a:r>
                  <a:rPr lang="en-GB" baseline="0">
                    <a:solidFill>
                      <a:sysClr val="windowText" lastClr="000000"/>
                    </a:solidFill>
                  </a:rPr>
                  <a:t> eq ha</a:t>
                </a:r>
                <a:r>
                  <a:rPr lang="en-GB" baseline="30000">
                    <a:solidFill>
                      <a:sysClr val="windowText" lastClr="000000"/>
                    </a:solidFill>
                  </a:rPr>
                  <a:t>-1</a:t>
                </a:r>
                <a:r>
                  <a:rPr lang="en-GB" baseline="0">
                    <a:solidFill>
                      <a:sysClr val="windowText" lastClr="000000"/>
                    </a:solidFill>
                  </a:rPr>
                  <a:t>)</a:t>
                </a:r>
                <a:endParaRPr lang="en-GB">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068150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7.png"/></Relationships>
</file>

<file path=xl/drawings/_rels/drawing11.xml.rels><?xml version="1.0" encoding="UTF-8" standalone="yes"?>
<Relationships xmlns="http://schemas.openxmlformats.org/package/2006/relationships"><Relationship Id="rId1" Type="http://schemas.openxmlformats.org/officeDocument/2006/relationships/image" Target="../media/image8.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19</xdr:col>
      <xdr:colOff>184055</xdr:colOff>
      <xdr:row>91</xdr:row>
      <xdr:rowOff>134504</xdr:rowOff>
    </xdr:from>
    <xdr:to>
      <xdr:col>26</xdr:col>
      <xdr:colOff>315863</xdr:colOff>
      <xdr:row>109</xdr:row>
      <xdr:rowOff>115455</xdr:rowOff>
    </xdr:to>
    <xdr:graphicFrame macro="">
      <xdr:nvGraphicFramePr>
        <xdr:cNvPr id="3" name="Chart 2">
          <a:extLst>
            <a:ext uri="{FF2B5EF4-FFF2-40B4-BE49-F238E27FC236}">
              <a16:creationId xmlns:a16="http://schemas.microsoft.com/office/drawing/2014/main" id="{03667E91-F57E-455E-8893-BB0AD49491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xdr:col>
      <xdr:colOff>438150</xdr:colOff>
      <xdr:row>6</xdr:row>
      <xdr:rowOff>19050</xdr:rowOff>
    </xdr:from>
    <xdr:to>
      <xdr:col>4</xdr:col>
      <xdr:colOff>520700</xdr:colOff>
      <xdr:row>6</xdr:row>
      <xdr:rowOff>228600</xdr:rowOff>
    </xdr:to>
    <xdr:pic>
      <xdr:nvPicPr>
        <xdr:cNvPr id="2" name="Picture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76500" y="946150"/>
          <a:ext cx="22606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317499</xdr:colOff>
      <xdr:row>6</xdr:row>
      <xdr:rowOff>59413</xdr:rowOff>
    </xdr:from>
    <xdr:to>
      <xdr:col>5</xdr:col>
      <xdr:colOff>241300</xdr:colOff>
      <xdr:row>6</xdr:row>
      <xdr:rowOff>285750</xdr:rowOff>
    </xdr:to>
    <xdr:pic>
      <xdr:nvPicPr>
        <xdr:cNvPr id="2" name="Picture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57449" y="1513563"/>
          <a:ext cx="3860801" cy="226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510886</xdr:colOff>
      <xdr:row>2</xdr:row>
      <xdr:rowOff>122041</xdr:rowOff>
    </xdr:to>
    <xdr:pic>
      <xdr:nvPicPr>
        <xdr:cNvPr id="2" name="Picture 1">
          <a:extLst>
            <a:ext uri="{FF2B5EF4-FFF2-40B4-BE49-F238E27FC236}">
              <a16:creationId xmlns:a16="http://schemas.microsoft.com/office/drawing/2014/main" id="{94074D9B-FA9F-4ACF-A598-F7B223848FFC}"/>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45227" y="181841"/>
          <a:ext cx="1498023" cy="303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34925</xdr:colOff>
      <xdr:row>7</xdr:row>
      <xdr:rowOff>161925</xdr:rowOff>
    </xdr:from>
    <xdr:ext cx="1089016" cy="413703"/>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2111375" y="1276350"/>
              <a:ext cx="1089016" cy="413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𝐿𝑈</m:t>
                        </m:r>
                      </m:sub>
                    </m:sSub>
                    <m:r>
                      <a:rPr lang="en-GB" sz="1100" b="0" i="1">
                        <a:latin typeface="Cambria Math" panose="02040503050406030204" pitchFamily="18" charset="0"/>
                        <a:ea typeface="Cambria Math" panose="02040503050406030204" pitchFamily="18" charset="0"/>
                      </a:rPr>
                      <m:t>= </m:t>
                    </m:r>
                    <m:nary>
                      <m:naryPr>
                        <m:chr m:val="∑"/>
                        <m:supHide m:val="on"/>
                        <m:ctrlPr>
                          <a:rPr lang="en-GB" sz="1100" b="0" i="1">
                            <a:latin typeface="Cambria Math" panose="02040503050406030204" pitchFamily="18" charset="0"/>
                            <a:ea typeface="Cambria Math" panose="02040503050406030204" pitchFamily="18" charset="0"/>
                          </a:rPr>
                        </m:ctrlPr>
                      </m:naryPr>
                      <m:sub>
                        <m:r>
                          <m:rPr>
                            <m:brk m:alnAt="7"/>
                          </m:rPr>
                          <a:rPr lang="en-GB" sz="1100" b="0" i="1">
                            <a:latin typeface="Cambria Math" panose="02040503050406030204" pitchFamily="18" charset="0"/>
                            <a:ea typeface="Cambria Math" panose="02040503050406030204" pitchFamily="18" charset="0"/>
                          </a:rPr>
                          <m:t>𝑖</m:t>
                        </m:r>
                      </m:sub>
                      <m:sup/>
                      <m:e>
                        <m:r>
                          <a:rPr lang="en-GB" sz="1100" b="0" i="1">
                            <a:latin typeface="Cambria Math" panose="02040503050406030204" pitchFamily="18" charset="0"/>
                            <a:ea typeface="Cambria Math" panose="02040503050406030204" pitchFamily="18" charset="0"/>
                          </a:rPr>
                          <m:t>∆</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𝐿𝑈</m:t>
                                </m:r>
                              </m:e>
                              <m:sub>
                                <m:r>
                                  <a:rPr lang="en-GB" sz="1100" b="0" i="1">
                                    <a:latin typeface="Cambria Math" panose="02040503050406030204" pitchFamily="18" charset="0"/>
                                    <a:ea typeface="Cambria Math" panose="02040503050406030204" pitchFamily="18" charset="0"/>
                                  </a:rPr>
                                  <m:t>𝑖</m:t>
                                </m:r>
                              </m:sub>
                            </m:sSub>
                          </m:sub>
                        </m:sSub>
                      </m:e>
                    </m:nary>
                  </m:oMath>
                </m:oMathPara>
              </a14:m>
              <a:endParaRPr lang="en-GB" sz="1100"/>
            </a:p>
          </xdr:txBody>
        </xdr:sp>
      </mc:Choice>
      <mc:Fallback xmlns="">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2111375" y="1276350"/>
              <a:ext cx="1089016" cy="413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𝐶_𝐿𝑈= ∑_𝑖▒〖∆𝐶_(〖𝐿𝑈〗_𝑖 ) 〗</a:t>
              </a:r>
              <a:endParaRPr lang="en-GB" sz="1100"/>
            </a:p>
          </xdr:txBody>
        </xdr:sp>
      </mc:Fallback>
    </mc:AlternateContent>
    <xdr:clientData/>
  </xdr:oneCellAnchor>
  <xdr:oneCellAnchor>
    <xdr:from>
      <xdr:col>4</xdr:col>
      <xdr:colOff>1273175</xdr:colOff>
      <xdr:row>7</xdr:row>
      <xdr:rowOff>257175</xdr:rowOff>
    </xdr:from>
    <xdr:ext cx="1252651"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7264400" y="1371600"/>
              <a:ext cx="1252651"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𝐵</m:t>
                        </m:r>
                      </m:sub>
                    </m:sSub>
                    <m:r>
                      <a:rPr lang="en-GB" sz="1100" b="0" i="1">
                        <a:latin typeface="Cambria Math" panose="02040503050406030204" pitchFamily="18" charset="0"/>
                        <a:ea typeface="Cambria Math" panose="02040503050406030204" pitchFamily="18" charset="0"/>
                      </a:rPr>
                      <m:t>=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𝐺</m:t>
                        </m:r>
                      </m:sub>
                    </m:sSub>
                    <m:r>
                      <a:rPr lang="en-GB" sz="1100" b="0" i="1">
                        <a:latin typeface="Cambria Math" panose="02040503050406030204" pitchFamily="18" charset="0"/>
                        <a:ea typeface="Cambria Math" panose="02040503050406030204" pitchFamily="18" charset="0"/>
                      </a:rPr>
                      <m:t> −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𝐿</m:t>
                        </m:r>
                      </m:sub>
                    </m:sSub>
                    <m:r>
                      <a:rPr lang="en-GB" sz="1100" b="0" i="1">
                        <a:latin typeface="Cambria Math" panose="02040503050406030204" pitchFamily="18" charset="0"/>
                        <a:ea typeface="Cambria Math" panose="02040503050406030204" pitchFamily="18" charset="0"/>
                      </a:rPr>
                      <m:t> </m:t>
                    </m:r>
                  </m:oMath>
                </m:oMathPara>
              </a14:m>
              <a:endParaRPr lang="en-GB" sz="1100"/>
            </a:p>
          </xdr:txBody>
        </xdr:sp>
      </mc:Choice>
      <mc:Fallback xmlns="">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7264400" y="1371600"/>
              <a:ext cx="1252651"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𝐶_𝐵= 〖∆𝐶〗_𝐺  − 〖∆𝐶〗_𝐿  </a:t>
              </a:r>
              <a:endParaRPr lang="en-GB" sz="1100"/>
            </a:p>
          </xdr:txBody>
        </xdr:sp>
      </mc:Fallback>
    </mc:AlternateContent>
    <xdr:clientData/>
  </xdr:oneCellAnchor>
  <xdr:oneCellAnchor>
    <xdr:from>
      <xdr:col>2</xdr:col>
      <xdr:colOff>1730375</xdr:colOff>
      <xdr:row>11</xdr:row>
      <xdr:rowOff>238125</xdr:rowOff>
    </xdr:from>
    <xdr:ext cx="2090124" cy="429926"/>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3806825" y="2657475"/>
              <a:ext cx="2090124" cy="429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𝐺</m:t>
                        </m:r>
                      </m:sub>
                    </m:sSub>
                    <m:r>
                      <a:rPr lang="en-GB" sz="1100" b="0" i="1">
                        <a:latin typeface="Cambria Math" panose="02040503050406030204" pitchFamily="18" charset="0"/>
                        <a:ea typeface="Cambria Math" panose="02040503050406030204" pitchFamily="18" charset="0"/>
                      </a:rPr>
                      <m:t>= </m:t>
                    </m:r>
                    <m:nary>
                      <m:naryPr>
                        <m:chr m:val="∑"/>
                        <m:supHide m:val="on"/>
                        <m:ctrlPr>
                          <a:rPr lang="en-GB" sz="1100" b="0" i="1">
                            <a:latin typeface="Cambria Math" panose="02040503050406030204" pitchFamily="18" charset="0"/>
                            <a:ea typeface="Cambria Math" panose="02040503050406030204" pitchFamily="18" charset="0"/>
                          </a:rPr>
                        </m:ctrlPr>
                      </m:naryPr>
                      <m:sub>
                        <m:r>
                          <m:rPr>
                            <m:brk m:alnAt="7"/>
                          </m:rP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up/>
                      <m:e>
                        <m:r>
                          <a:rPr lang="en-GB" sz="1100" b="0" i="1">
                            <a:latin typeface="Cambria Math" panose="02040503050406030204" pitchFamily="18" charset="0"/>
                            <a:ea typeface="Cambria Math" panose="02040503050406030204" pitchFamily="18" charset="0"/>
                          </a:rPr>
                          <m:t>(</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𝐴</m:t>
                            </m:r>
                          </m:e>
                          <m:sub>
                            <m: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Sub>
                        <m:r>
                          <a:rPr lang="en-GB" sz="1100" b="0" i="1">
                            <a:latin typeface="Cambria Math" panose="02040503050406030204" pitchFamily="18" charset="0"/>
                            <a:ea typeface="Cambria Math" panose="02040503050406030204" pitchFamily="18" charset="0"/>
                          </a:rPr>
                          <m:t> ∗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𝐺</m:t>
                            </m:r>
                          </m:e>
                          <m:sub>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𝑡𝑜𝑡𝑎𝑙</m:t>
                                </m:r>
                              </m:e>
                              <m:sub>
                                <m: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Sub>
                          </m:sub>
                        </m:sSub>
                        <m:r>
                          <a:rPr lang="en-GB" sz="1100" b="0" i="1">
                            <a:latin typeface="Cambria Math" panose="02040503050406030204" pitchFamily="18" charset="0"/>
                            <a:ea typeface="Cambria Math" panose="02040503050406030204" pitchFamily="18" charset="0"/>
                          </a:rPr>
                          <m:t> ∗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𝐶𝐹</m:t>
                            </m:r>
                          </m:e>
                          <m:sub>
                            <m: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Sub>
                        <m:r>
                          <a:rPr lang="en-GB" sz="1100" b="0" i="1">
                            <a:latin typeface="Cambria Math" panose="02040503050406030204" pitchFamily="18" charset="0"/>
                            <a:ea typeface="Cambria Math" panose="02040503050406030204" pitchFamily="18" charset="0"/>
                          </a:rPr>
                          <m:t>)</m:t>
                        </m:r>
                      </m:e>
                    </m:nary>
                  </m:oMath>
                </m:oMathPara>
              </a14:m>
              <a:endParaRPr lang="en-GB" sz="1100"/>
            </a:p>
          </xdr:txBody>
        </xdr:sp>
      </mc:Choice>
      <mc:Fallback xmlns="">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3806825" y="2657475"/>
              <a:ext cx="2090124" cy="429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𝐶_𝐺= ∑_(𝑖,𝑗)▒〖(𝐴_(𝑖,𝑗)  ∗ 𝐺_(〖𝑡𝑜𝑡𝑎𝑙〗_(𝑖,𝑗) )  ∗ 〖𝐶𝐹〗_(𝑖,𝑗))〗</a:t>
              </a:r>
              <a:endParaRPr lang="en-GB" sz="1100"/>
            </a:p>
          </xdr:txBody>
        </xdr:sp>
      </mc:Fallback>
    </mc:AlternateContent>
    <xdr:clientData/>
  </xdr:oneCellAnchor>
  <xdr:oneCellAnchor>
    <xdr:from>
      <xdr:col>3</xdr:col>
      <xdr:colOff>6350</xdr:colOff>
      <xdr:row>11</xdr:row>
      <xdr:rowOff>723900</xdr:rowOff>
    </xdr:from>
    <xdr:ext cx="1701748" cy="409920"/>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3816350" y="3143250"/>
              <a:ext cx="1701748"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b="0" i="1">
                            <a:latin typeface="Cambria Math" panose="02040503050406030204" pitchFamily="18" charset="0"/>
                          </a:rPr>
                          <m:t>𝐺</m:t>
                        </m:r>
                      </m:e>
                      <m:sub>
                        <m:r>
                          <a:rPr lang="en-GB" sz="1100" b="0" i="1">
                            <a:latin typeface="Cambria Math" panose="02040503050406030204" pitchFamily="18" charset="0"/>
                          </a:rPr>
                          <m:t>𝑡𝑜𝑡𝑎𝑙</m:t>
                        </m:r>
                      </m:sub>
                    </m:sSub>
                    <m:r>
                      <a:rPr lang="en-GB" sz="1100" b="0" i="1">
                        <a:latin typeface="Cambria Math" panose="02040503050406030204" pitchFamily="18" charset="0"/>
                      </a:rPr>
                      <m:t>= </m:t>
                    </m:r>
                    <m:nary>
                      <m:naryPr>
                        <m:chr m:val="∑"/>
                        <m:subHide m:val="on"/>
                        <m:supHide m:val="on"/>
                        <m:ctrlPr>
                          <a:rPr lang="en-GB" sz="1100" b="0" i="1">
                            <a:latin typeface="Cambria Math" panose="02040503050406030204" pitchFamily="18" charset="0"/>
                          </a:rPr>
                        </m:ctrlPr>
                      </m:naryPr>
                      <m:sub/>
                      <m:sup/>
                      <m:e>
                        <m:r>
                          <a:rPr lang="en-GB" sz="1100" b="0" i="1">
                            <a:latin typeface="Cambria Math" panose="02040503050406030204" pitchFamily="18" charset="0"/>
                          </a:rPr>
                          <m:t>{</m:t>
                        </m:r>
                        <m:sSub>
                          <m:sSubPr>
                            <m:ctrlPr>
                              <a:rPr lang="en-GB" sz="1100" b="0" i="1">
                                <a:latin typeface="Cambria Math" panose="02040503050406030204" pitchFamily="18" charset="0"/>
                              </a:rPr>
                            </m:ctrlPr>
                          </m:sSubPr>
                          <m:e>
                            <m:r>
                              <a:rPr lang="en-GB" sz="1100" b="0" i="1">
                                <a:latin typeface="Cambria Math" panose="02040503050406030204" pitchFamily="18" charset="0"/>
                              </a:rPr>
                              <m:t>𝐺</m:t>
                            </m:r>
                          </m:e>
                          <m:sub>
                            <m:r>
                              <a:rPr lang="en-GB" sz="1100" b="0" i="1">
                                <a:latin typeface="Cambria Math" panose="02040503050406030204" pitchFamily="18" charset="0"/>
                              </a:rPr>
                              <m:t>𝑊</m:t>
                            </m:r>
                          </m:sub>
                        </m:sSub>
                        <m:r>
                          <a:rPr lang="en-GB" sz="1100" b="0" i="1">
                            <a:latin typeface="Cambria Math" panose="02040503050406030204" pitchFamily="18" charset="0"/>
                          </a:rPr>
                          <m:t> ∗(1+</m:t>
                        </m:r>
                        <m:r>
                          <a:rPr lang="en-GB" sz="1100" b="0" i="1">
                            <a:latin typeface="Cambria Math" panose="02040503050406030204" pitchFamily="18" charset="0"/>
                          </a:rPr>
                          <m:t>𝑅</m:t>
                        </m:r>
                        <m:r>
                          <a:rPr lang="en-GB" sz="1100" b="0" i="1">
                            <a:latin typeface="Cambria Math" panose="02040503050406030204" pitchFamily="18" charset="0"/>
                          </a:rPr>
                          <m:t>)}</m:t>
                        </m:r>
                      </m:e>
                    </m:nary>
                  </m:oMath>
                </m:oMathPara>
              </a14:m>
              <a:endParaRPr lang="en-GB" sz="1100"/>
            </a:p>
          </xdr:txBody>
        </xdr:sp>
      </mc:Choice>
      <mc:Fallback xmlns="">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3816350" y="3143250"/>
              <a:ext cx="1701748"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b="0" i="0">
                  <a:latin typeface="Cambria Math" panose="02040503050406030204" pitchFamily="18" charset="0"/>
                </a:rPr>
                <a:t>𝐺_𝑡𝑜𝑡𝑎𝑙= ∑▒〖{𝐺_𝑊  ∗(1+𝑅)}〗</a:t>
              </a:r>
              <a:endParaRPr lang="en-GB" sz="1100"/>
            </a:p>
          </xdr:txBody>
        </xdr:sp>
      </mc:Fallback>
    </mc:AlternateContent>
    <xdr:clientData/>
  </xdr:oneCellAnchor>
  <xdr:oneCellAnchor>
    <xdr:from>
      <xdr:col>3</xdr:col>
      <xdr:colOff>2178050</xdr:colOff>
      <xdr:row>11</xdr:row>
      <xdr:rowOff>352425</xdr:rowOff>
    </xdr:from>
    <xdr:ext cx="1174552" cy="172227"/>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5988050" y="2771775"/>
              <a:ext cx="117455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𝐿</m:t>
                        </m:r>
                      </m:sub>
                    </m:sSub>
                    <m:r>
                      <a:rPr lang="en-GB" sz="1100" b="0" i="1">
                        <a:latin typeface="Cambria Math" panose="02040503050406030204" pitchFamily="18" charset="0"/>
                        <a:ea typeface="Cambria Math" panose="02040503050406030204" pitchFamily="18" charset="0"/>
                      </a:rPr>
                      <m:t>=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𝐿</m:t>
                        </m:r>
                      </m:e>
                      <m:sub>
                        <m:r>
                          <a:rPr lang="en-GB" sz="1100" b="0" i="1">
                            <a:latin typeface="Cambria Math" panose="02040503050406030204" pitchFamily="18" charset="0"/>
                            <a:ea typeface="Cambria Math" panose="02040503050406030204" pitchFamily="18" charset="0"/>
                          </a:rPr>
                          <m:t>𝑑𝑖𝑠𝑡𝑢𝑟𝑏𝑎𝑛𝑐𝑒</m:t>
                        </m:r>
                      </m:sub>
                    </m:sSub>
                  </m:oMath>
                </m:oMathPara>
              </a14:m>
              <a:endParaRPr lang="en-GB" sz="1100"/>
            </a:p>
          </xdr:txBody>
        </xdr:sp>
      </mc:Choice>
      <mc:Fallback xmlns="">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5988050" y="2771775"/>
              <a:ext cx="117455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𝐶_𝐿= 𝐿_𝑑𝑖𝑠𝑡𝑢𝑟𝑏𝑎𝑛𝑐𝑒</a:t>
              </a:r>
              <a:endParaRPr lang="en-GB" sz="1100"/>
            </a:p>
          </xdr:txBody>
        </xdr:sp>
      </mc:Fallback>
    </mc:AlternateContent>
    <xdr:clientData/>
  </xdr:oneCellAnchor>
  <xdr:oneCellAnchor>
    <xdr:from>
      <xdr:col>4</xdr:col>
      <xdr:colOff>0</xdr:colOff>
      <xdr:row>11</xdr:row>
      <xdr:rowOff>838200</xdr:rowOff>
    </xdr:from>
    <xdr:ext cx="3276600" cy="172227"/>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5991225" y="3257550"/>
              <a:ext cx="327660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𝐿</m:t>
                        </m:r>
                      </m:e>
                      <m:sub>
                        <m:r>
                          <a:rPr lang="en-GB" sz="1100" b="0" i="1">
                            <a:latin typeface="Cambria Math" panose="02040503050406030204" pitchFamily="18" charset="0"/>
                            <a:ea typeface="Cambria Math" panose="02040503050406030204" pitchFamily="18" charset="0"/>
                          </a:rPr>
                          <m:t>𝑑𝑖𝑠𝑡𝑢𝑟𝑏𝑎𝑛𝑐𝑒</m:t>
                        </m:r>
                      </m:sub>
                    </m:sSub>
                    <m:r>
                      <a:rPr lang="en-GB" sz="1100" b="0" i="1">
                        <a:latin typeface="Cambria Math" panose="02040503050406030204" pitchFamily="18" charset="0"/>
                        <a:ea typeface="Cambria Math" panose="02040503050406030204" pitchFamily="18" charset="0"/>
                      </a:rPr>
                      <m:t>={</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𝐴</m:t>
                        </m:r>
                      </m:e>
                      <m:sub>
                        <m:r>
                          <a:rPr lang="en-GB" sz="1100" b="0" i="1">
                            <a:latin typeface="Cambria Math" panose="02040503050406030204" pitchFamily="18" charset="0"/>
                            <a:ea typeface="Cambria Math" panose="02040503050406030204" pitchFamily="18" charset="0"/>
                          </a:rPr>
                          <m:t>𝑑𝑖𝑠𝑡𝑢𝑟𝑏𝑎𝑛𝑐𝑒</m:t>
                        </m:r>
                      </m:sub>
                    </m:sSub>
                    <m:r>
                      <a:rPr lang="en-GB" sz="1100" b="0" i="1">
                        <a:solidFill>
                          <a:schemeClr val="tx1"/>
                        </a:solidFill>
                        <a:effectLst/>
                        <a:latin typeface="Cambria Math" panose="02040503050406030204" pitchFamily="18" charset="0"/>
                        <a:ea typeface="+mn-ea"/>
                        <a:cs typeface="+mn-cs"/>
                      </a:rPr>
                      <m:t>∗ </m:t>
                    </m:r>
                    <m:sSub>
                      <m:sSubPr>
                        <m:ctrlPr>
                          <a:rPr lang="en-GB" sz="1100" b="0" i="1">
                            <a:solidFill>
                              <a:schemeClr val="tx1"/>
                            </a:solidFill>
                            <a:effectLst/>
                            <a:latin typeface="Cambria Math" panose="02040503050406030204" pitchFamily="18" charset="0"/>
                            <a:ea typeface="+mn-ea"/>
                            <a:cs typeface="+mn-cs"/>
                          </a:rPr>
                        </m:ctrlPr>
                      </m:sSubPr>
                      <m:e>
                        <m:r>
                          <a:rPr lang="en-GB" sz="1100" b="0" i="1">
                            <a:solidFill>
                              <a:schemeClr val="tx1"/>
                            </a:solidFill>
                            <a:effectLst/>
                            <a:latin typeface="Cambria Math" panose="02040503050406030204" pitchFamily="18" charset="0"/>
                            <a:ea typeface="+mn-ea"/>
                            <a:cs typeface="+mn-cs"/>
                          </a:rPr>
                          <m:t>𝐵</m:t>
                        </m:r>
                      </m:e>
                      <m:sub>
                        <m:r>
                          <a:rPr lang="en-GB" sz="1100" b="0" i="1">
                            <a:solidFill>
                              <a:schemeClr val="tx1"/>
                            </a:solidFill>
                            <a:effectLst/>
                            <a:latin typeface="Cambria Math" panose="02040503050406030204" pitchFamily="18" charset="0"/>
                            <a:ea typeface="+mn-ea"/>
                            <a:cs typeface="+mn-cs"/>
                          </a:rPr>
                          <m:t>𝑊</m:t>
                        </m:r>
                      </m:sub>
                    </m:sSub>
                    <m:r>
                      <a:rPr lang="en-GB" sz="1100" b="0" i="1">
                        <a:solidFill>
                          <a:schemeClr val="tx1"/>
                        </a:solidFill>
                        <a:effectLst/>
                        <a:latin typeface="Cambria Math" panose="02040503050406030204" pitchFamily="18" charset="0"/>
                        <a:ea typeface="+mn-ea"/>
                        <a:cs typeface="+mn-cs"/>
                      </a:rPr>
                      <m:t>∗</m:t>
                    </m:r>
                    <m:d>
                      <m:dPr>
                        <m:ctrlPr>
                          <a:rPr lang="en-GB" sz="1100" b="0" i="1">
                            <a:solidFill>
                              <a:schemeClr val="tx1"/>
                            </a:solidFill>
                            <a:effectLst/>
                            <a:latin typeface="Cambria Math" panose="02040503050406030204" pitchFamily="18" charset="0"/>
                            <a:ea typeface="+mn-ea"/>
                            <a:cs typeface="+mn-cs"/>
                          </a:rPr>
                        </m:ctrlPr>
                      </m:dPr>
                      <m:e>
                        <m:r>
                          <a:rPr lang="en-GB" sz="1100" b="0" i="1">
                            <a:solidFill>
                              <a:schemeClr val="tx1"/>
                            </a:solidFill>
                            <a:effectLst/>
                            <a:latin typeface="Cambria Math" panose="02040503050406030204" pitchFamily="18" charset="0"/>
                            <a:ea typeface="+mn-ea"/>
                            <a:cs typeface="+mn-cs"/>
                          </a:rPr>
                          <m:t>1+</m:t>
                        </m:r>
                        <m:r>
                          <a:rPr lang="en-GB" sz="1100" b="0" i="1">
                            <a:solidFill>
                              <a:schemeClr val="tx1"/>
                            </a:solidFill>
                            <a:effectLst/>
                            <a:latin typeface="Cambria Math" panose="02040503050406030204" pitchFamily="18" charset="0"/>
                            <a:ea typeface="+mn-ea"/>
                            <a:cs typeface="+mn-cs"/>
                          </a:rPr>
                          <m:t>𝑅</m:t>
                        </m:r>
                      </m:e>
                    </m:d>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𝐶𝐹</m:t>
                    </m:r>
                    <m:r>
                      <a:rPr lang="en-GB" sz="1100" b="0" i="1">
                        <a:solidFill>
                          <a:schemeClr val="tx1"/>
                        </a:solidFill>
                        <a:effectLst/>
                        <a:latin typeface="Cambria Math" panose="02040503050406030204" pitchFamily="18" charset="0"/>
                        <a:ea typeface="+mn-ea"/>
                        <a:cs typeface="+mn-cs"/>
                      </a:rPr>
                      <m:t> ∗</m:t>
                    </m:r>
                    <m:r>
                      <a:rPr lang="en-GB" sz="1100" b="0" i="1">
                        <a:solidFill>
                          <a:schemeClr val="tx1"/>
                        </a:solidFill>
                        <a:effectLst/>
                        <a:latin typeface="Cambria Math" panose="02040503050406030204" pitchFamily="18" charset="0"/>
                        <a:ea typeface="+mn-ea"/>
                        <a:cs typeface="+mn-cs"/>
                      </a:rPr>
                      <m:t>𝑓𝑑</m:t>
                    </m:r>
                    <m:r>
                      <a:rPr lang="en-GB" sz="1100" b="0" i="1">
                        <a:solidFill>
                          <a:schemeClr val="tx1"/>
                        </a:solidFill>
                        <a:effectLst/>
                        <a:latin typeface="Cambria Math" panose="02040503050406030204" pitchFamily="18" charset="0"/>
                        <a:ea typeface="+mn-ea"/>
                        <a:cs typeface="+mn-cs"/>
                      </a:rPr>
                      <m:t>}</m:t>
                    </m:r>
                  </m:oMath>
                </m:oMathPara>
              </a14:m>
              <a:endParaRPr lang="en-GB" sz="1100"/>
            </a:p>
          </xdr:txBody>
        </xdr:sp>
      </mc:Choice>
      <mc:Fallback xmlns="">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5991225" y="3257550"/>
              <a:ext cx="327660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GB" sz="1100" b="0" i="0">
                  <a:latin typeface="Cambria Math" panose="02040503050406030204" pitchFamily="18" charset="0"/>
                  <a:ea typeface="Cambria Math" panose="02040503050406030204" pitchFamily="18" charset="0"/>
                </a:rPr>
                <a:t>𝐿_𝑑𝑖𝑠𝑡𝑢𝑟𝑏𝑎𝑛𝑐𝑒={𝐴_𝑑𝑖𝑠𝑡𝑢𝑟𝑏𝑎𝑛𝑐𝑒</a:t>
              </a:r>
              <a:r>
                <a:rPr lang="en-GB" sz="1100" b="0" i="0">
                  <a:solidFill>
                    <a:schemeClr val="tx1"/>
                  </a:solidFill>
                  <a:effectLst/>
                  <a:latin typeface="Cambria Math" panose="02040503050406030204" pitchFamily="18" charset="0"/>
                  <a:ea typeface="+mn-ea"/>
                  <a:cs typeface="+mn-cs"/>
                </a:rPr>
                <a:t>∗ 𝐵_𝑊∗(1+𝑅)∗𝐶𝐹 ∗𝑓𝑑}</a:t>
              </a:r>
              <a:endParaRPr lang="en-GB"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2</xdr:col>
      <xdr:colOff>53975</xdr:colOff>
      <xdr:row>7</xdr:row>
      <xdr:rowOff>292100</xdr:rowOff>
    </xdr:from>
    <xdr:ext cx="1089016" cy="413703"/>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2124075" y="1403350"/>
              <a:ext cx="1089016" cy="413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𝐿𝑈</m:t>
                        </m:r>
                      </m:sub>
                    </m:sSub>
                    <m:r>
                      <a:rPr lang="en-GB" sz="1100" b="0" i="1">
                        <a:latin typeface="Cambria Math" panose="02040503050406030204" pitchFamily="18" charset="0"/>
                        <a:ea typeface="Cambria Math" panose="02040503050406030204" pitchFamily="18" charset="0"/>
                      </a:rPr>
                      <m:t>= </m:t>
                    </m:r>
                    <m:nary>
                      <m:naryPr>
                        <m:chr m:val="∑"/>
                        <m:supHide m:val="on"/>
                        <m:ctrlPr>
                          <a:rPr lang="en-GB" sz="1100" b="0" i="1">
                            <a:latin typeface="Cambria Math" panose="02040503050406030204" pitchFamily="18" charset="0"/>
                            <a:ea typeface="Cambria Math" panose="02040503050406030204" pitchFamily="18" charset="0"/>
                          </a:rPr>
                        </m:ctrlPr>
                      </m:naryPr>
                      <m:sub>
                        <m:r>
                          <m:rPr>
                            <m:brk m:alnAt="7"/>
                          </m:rPr>
                          <a:rPr lang="en-GB" sz="1100" b="0" i="1">
                            <a:latin typeface="Cambria Math" panose="02040503050406030204" pitchFamily="18" charset="0"/>
                            <a:ea typeface="Cambria Math" panose="02040503050406030204" pitchFamily="18" charset="0"/>
                          </a:rPr>
                          <m:t>𝑖</m:t>
                        </m:r>
                      </m:sub>
                      <m:sup/>
                      <m:e>
                        <m:r>
                          <a:rPr lang="en-GB" sz="1100" b="0" i="1">
                            <a:latin typeface="Cambria Math" panose="02040503050406030204" pitchFamily="18" charset="0"/>
                            <a:ea typeface="Cambria Math" panose="02040503050406030204" pitchFamily="18" charset="0"/>
                          </a:rPr>
                          <m:t>∆</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𝐿𝑈</m:t>
                                </m:r>
                              </m:e>
                              <m:sub>
                                <m:r>
                                  <a:rPr lang="en-GB" sz="1100" b="0" i="1">
                                    <a:latin typeface="Cambria Math" panose="02040503050406030204" pitchFamily="18" charset="0"/>
                                    <a:ea typeface="Cambria Math" panose="02040503050406030204" pitchFamily="18" charset="0"/>
                                  </a:rPr>
                                  <m:t>𝑖</m:t>
                                </m:r>
                              </m:sub>
                            </m:sSub>
                          </m:sub>
                        </m:sSub>
                      </m:e>
                    </m:nary>
                  </m:oMath>
                </m:oMathPara>
              </a14:m>
              <a:endParaRPr lang="en-GB" sz="1100"/>
            </a:p>
          </xdr:txBody>
        </xdr:sp>
      </mc:Choice>
      <mc:Fallback xmlns="">
        <xdr:sp macro="" textlink="">
          <xdr:nvSpPr>
            <xdr:cNvPr id="2" name="TextBox 1"/>
            <xdr:cNvSpPr txBox="1"/>
          </xdr:nvSpPr>
          <xdr:spPr>
            <a:xfrm>
              <a:off x="2124075" y="1403350"/>
              <a:ext cx="1089016" cy="413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𝐶_𝐿𝑈= ∑_𝑖▒〖∆𝐶_(〖𝐿𝑈〗_𝑖 ) 〗</a:t>
              </a:r>
              <a:endParaRPr lang="en-GB" sz="1100"/>
            </a:p>
          </xdr:txBody>
        </xdr:sp>
      </mc:Fallback>
    </mc:AlternateContent>
    <xdr:clientData/>
  </xdr:oneCellAnchor>
  <xdr:oneCellAnchor>
    <xdr:from>
      <xdr:col>4</xdr:col>
      <xdr:colOff>657225</xdr:colOff>
      <xdr:row>7</xdr:row>
      <xdr:rowOff>381000</xdr:rowOff>
    </xdr:from>
    <xdr:ext cx="1252651"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6638925" y="1492250"/>
              <a:ext cx="1252651"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𝐵</m:t>
                        </m:r>
                      </m:sub>
                    </m:sSub>
                    <m:r>
                      <a:rPr lang="en-GB" sz="1100" b="0" i="1">
                        <a:latin typeface="Cambria Math" panose="02040503050406030204" pitchFamily="18" charset="0"/>
                        <a:ea typeface="Cambria Math" panose="02040503050406030204" pitchFamily="18" charset="0"/>
                      </a:rPr>
                      <m:t>=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𝐺</m:t>
                        </m:r>
                      </m:sub>
                    </m:sSub>
                    <m:r>
                      <a:rPr lang="en-GB" sz="1100" b="0" i="1">
                        <a:latin typeface="Cambria Math" panose="02040503050406030204" pitchFamily="18" charset="0"/>
                        <a:ea typeface="Cambria Math" panose="02040503050406030204" pitchFamily="18" charset="0"/>
                      </a:rPr>
                      <m:t> −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𝐿</m:t>
                        </m:r>
                      </m:sub>
                    </m:sSub>
                    <m:r>
                      <a:rPr lang="en-GB" sz="1100" b="0" i="1">
                        <a:latin typeface="Cambria Math" panose="02040503050406030204" pitchFamily="18" charset="0"/>
                        <a:ea typeface="Cambria Math" panose="02040503050406030204" pitchFamily="18" charset="0"/>
                      </a:rPr>
                      <m:t> </m:t>
                    </m:r>
                  </m:oMath>
                </m:oMathPara>
              </a14:m>
              <a:endParaRPr lang="en-GB" sz="1100"/>
            </a:p>
          </xdr:txBody>
        </xdr:sp>
      </mc:Choice>
      <mc:Fallback xmlns="">
        <xdr:sp macro="" textlink="">
          <xdr:nvSpPr>
            <xdr:cNvPr id="3" name="TextBox 2"/>
            <xdr:cNvSpPr txBox="1"/>
          </xdr:nvSpPr>
          <xdr:spPr>
            <a:xfrm>
              <a:off x="6638925" y="1492250"/>
              <a:ext cx="1252651"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𝐶_𝐵= 〖∆𝐶〗_𝐺  − 〖∆𝐶〗_𝐿  </a:t>
              </a:r>
              <a:endParaRPr lang="en-GB" sz="1100"/>
            </a:p>
          </xdr:txBody>
        </xdr:sp>
      </mc:Fallback>
    </mc:AlternateContent>
    <xdr:clientData/>
  </xdr:oneCellAnchor>
  <xdr:oneCellAnchor>
    <xdr:from>
      <xdr:col>3</xdr:col>
      <xdr:colOff>3175</xdr:colOff>
      <xdr:row>11</xdr:row>
      <xdr:rowOff>342900</xdr:rowOff>
    </xdr:from>
    <xdr:ext cx="2090124" cy="429926"/>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3806825" y="2946400"/>
              <a:ext cx="2090124" cy="429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𝐺</m:t>
                        </m:r>
                      </m:sub>
                    </m:sSub>
                    <m:r>
                      <a:rPr lang="en-GB" sz="1100" b="0" i="1">
                        <a:latin typeface="Cambria Math" panose="02040503050406030204" pitchFamily="18" charset="0"/>
                        <a:ea typeface="Cambria Math" panose="02040503050406030204" pitchFamily="18" charset="0"/>
                      </a:rPr>
                      <m:t>= </m:t>
                    </m:r>
                    <m:nary>
                      <m:naryPr>
                        <m:chr m:val="∑"/>
                        <m:supHide m:val="on"/>
                        <m:ctrlPr>
                          <a:rPr lang="en-GB" sz="1100" b="0" i="1">
                            <a:latin typeface="Cambria Math" panose="02040503050406030204" pitchFamily="18" charset="0"/>
                            <a:ea typeface="Cambria Math" panose="02040503050406030204" pitchFamily="18" charset="0"/>
                          </a:rPr>
                        </m:ctrlPr>
                      </m:naryPr>
                      <m:sub>
                        <m:r>
                          <m:rPr>
                            <m:brk m:alnAt="7"/>
                          </m:rP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up/>
                      <m:e>
                        <m:r>
                          <a:rPr lang="en-GB" sz="1100" b="0" i="1">
                            <a:latin typeface="Cambria Math" panose="02040503050406030204" pitchFamily="18" charset="0"/>
                            <a:ea typeface="Cambria Math" panose="02040503050406030204" pitchFamily="18" charset="0"/>
                          </a:rPr>
                          <m:t>(</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𝐴</m:t>
                            </m:r>
                          </m:e>
                          <m:sub>
                            <m: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Sub>
                        <m:r>
                          <a:rPr lang="en-GB" sz="1100" b="0" i="1">
                            <a:latin typeface="Cambria Math" panose="02040503050406030204" pitchFamily="18" charset="0"/>
                            <a:ea typeface="Cambria Math" panose="02040503050406030204" pitchFamily="18" charset="0"/>
                          </a:rPr>
                          <m:t> ∗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𝐺</m:t>
                            </m:r>
                          </m:e>
                          <m:sub>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𝑡𝑜𝑡𝑎𝑙</m:t>
                                </m:r>
                              </m:e>
                              <m:sub>
                                <m: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Sub>
                          </m:sub>
                        </m:sSub>
                        <m:r>
                          <a:rPr lang="en-GB" sz="1100" b="0" i="1">
                            <a:latin typeface="Cambria Math" panose="02040503050406030204" pitchFamily="18" charset="0"/>
                            <a:ea typeface="Cambria Math" panose="02040503050406030204" pitchFamily="18" charset="0"/>
                          </a:rPr>
                          <m:t> ∗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𝐶𝐹</m:t>
                            </m:r>
                          </m:e>
                          <m:sub>
                            <m:r>
                              <a:rPr lang="en-GB" sz="1100" b="0" i="1">
                                <a:latin typeface="Cambria Math" panose="02040503050406030204" pitchFamily="18" charset="0"/>
                                <a:ea typeface="Cambria Math" panose="02040503050406030204" pitchFamily="18" charset="0"/>
                              </a:rPr>
                              <m:t>𝑖</m:t>
                            </m:r>
                            <m:r>
                              <a:rPr lang="en-GB" sz="1100" b="0" i="1">
                                <a:latin typeface="Cambria Math" panose="02040503050406030204" pitchFamily="18" charset="0"/>
                                <a:ea typeface="Cambria Math" panose="02040503050406030204" pitchFamily="18" charset="0"/>
                              </a:rPr>
                              <m:t>,</m:t>
                            </m:r>
                            <m:r>
                              <a:rPr lang="en-GB" sz="1100" b="0" i="1">
                                <a:latin typeface="Cambria Math" panose="02040503050406030204" pitchFamily="18" charset="0"/>
                                <a:ea typeface="Cambria Math" panose="02040503050406030204" pitchFamily="18" charset="0"/>
                              </a:rPr>
                              <m:t>𝑗</m:t>
                            </m:r>
                          </m:sub>
                        </m:sSub>
                        <m:r>
                          <a:rPr lang="en-GB" sz="1100" b="0" i="1">
                            <a:latin typeface="Cambria Math" panose="02040503050406030204" pitchFamily="18" charset="0"/>
                            <a:ea typeface="Cambria Math" panose="02040503050406030204" pitchFamily="18" charset="0"/>
                          </a:rPr>
                          <m:t>)</m:t>
                        </m:r>
                      </m:e>
                    </m:nary>
                  </m:oMath>
                </m:oMathPara>
              </a14:m>
              <a:endParaRPr lang="en-GB" sz="1100"/>
            </a:p>
          </xdr:txBody>
        </xdr:sp>
      </mc:Choice>
      <mc:Fallback xmlns="">
        <xdr:sp macro="" textlink="">
          <xdr:nvSpPr>
            <xdr:cNvPr id="4" name="TextBox 3"/>
            <xdr:cNvSpPr txBox="1"/>
          </xdr:nvSpPr>
          <xdr:spPr>
            <a:xfrm>
              <a:off x="3806825" y="2946400"/>
              <a:ext cx="2090124" cy="429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𝐶_𝐺= ∑_(𝑖,𝑗)▒〖(𝐴_(𝑖,𝑗)  ∗ 𝐺_(〖𝑡𝑜𝑡𝑎𝑙〗_(𝑖,𝑗) )  ∗ 〖𝐶𝐹〗_(𝑖,𝑗))〗</a:t>
              </a:r>
              <a:endParaRPr lang="en-GB" sz="1100"/>
            </a:p>
          </xdr:txBody>
        </xdr:sp>
      </mc:Fallback>
    </mc:AlternateContent>
    <xdr:clientData/>
  </xdr:oneCellAnchor>
  <xdr:oneCellAnchor>
    <xdr:from>
      <xdr:col>3</xdr:col>
      <xdr:colOff>3175</xdr:colOff>
      <xdr:row>11</xdr:row>
      <xdr:rowOff>819150</xdr:rowOff>
    </xdr:from>
    <xdr:ext cx="1701748" cy="409920"/>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3806825" y="3422650"/>
              <a:ext cx="1701748"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b="0" i="1">
                            <a:latin typeface="Cambria Math" panose="02040503050406030204" pitchFamily="18" charset="0"/>
                          </a:rPr>
                          <m:t>𝐺</m:t>
                        </m:r>
                      </m:e>
                      <m:sub>
                        <m:r>
                          <a:rPr lang="en-GB" sz="1100" b="0" i="1">
                            <a:latin typeface="Cambria Math" panose="02040503050406030204" pitchFamily="18" charset="0"/>
                          </a:rPr>
                          <m:t>𝑡𝑜𝑡𝑎𝑙</m:t>
                        </m:r>
                      </m:sub>
                    </m:sSub>
                    <m:r>
                      <a:rPr lang="en-GB" sz="1100" b="0" i="1">
                        <a:latin typeface="Cambria Math" panose="02040503050406030204" pitchFamily="18" charset="0"/>
                      </a:rPr>
                      <m:t>= </m:t>
                    </m:r>
                    <m:nary>
                      <m:naryPr>
                        <m:chr m:val="∑"/>
                        <m:subHide m:val="on"/>
                        <m:supHide m:val="on"/>
                        <m:ctrlPr>
                          <a:rPr lang="en-GB" sz="1100" b="0" i="1">
                            <a:latin typeface="Cambria Math" panose="02040503050406030204" pitchFamily="18" charset="0"/>
                          </a:rPr>
                        </m:ctrlPr>
                      </m:naryPr>
                      <m:sub/>
                      <m:sup/>
                      <m:e>
                        <m:r>
                          <a:rPr lang="en-GB" sz="1100" b="0" i="1">
                            <a:latin typeface="Cambria Math" panose="02040503050406030204" pitchFamily="18" charset="0"/>
                          </a:rPr>
                          <m:t>{</m:t>
                        </m:r>
                        <m:sSub>
                          <m:sSubPr>
                            <m:ctrlPr>
                              <a:rPr lang="en-GB" sz="1100" b="0" i="1">
                                <a:latin typeface="Cambria Math" panose="02040503050406030204" pitchFamily="18" charset="0"/>
                              </a:rPr>
                            </m:ctrlPr>
                          </m:sSubPr>
                          <m:e>
                            <m:r>
                              <a:rPr lang="en-GB" sz="1100" b="0" i="1">
                                <a:latin typeface="Cambria Math" panose="02040503050406030204" pitchFamily="18" charset="0"/>
                              </a:rPr>
                              <m:t>𝐺</m:t>
                            </m:r>
                          </m:e>
                          <m:sub>
                            <m:r>
                              <a:rPr lang="en-GB" sz="1100" b="0" i="1">
                                <a:latin typeface="Cambria Math" panose="02040503050406030204" pitchFamily="18" charset="0"/>
                              </a:rPr>
                              <m:t>𝑊</m:t>
                            </m:r>
                          </m:sub>
                        </m:sSub>
                        <m:r>
                          <a:rPr lang="en-GB" sz="1100" b="0" i="1">
                            <a:latin typeface="Cambria Math" panose="02040503050406030204" pitchFamily="18" charset="0"/>
                          </a:rPr>
                          <m:t> ∗(1+</m:t>
                        </m:r>
                        <m:r>
                          <a:rPr lang="en-GB" sz="1100" b="0" i="1">
                            <a:latin typeface="Cambria Math" panose="02040503050406030204" pitchFamily="18" charset="0"/>
                          </a:rPr>
                          <m:t>𝑅</m:t>
                        </m:r>
                        <m:r>
                          <a:rPr lang="en-GB" sz="1100" b="0" i="1">
                            <a:latin typeface="Cambria Math" panose="02040503050406030204" pitchFamily="18" charset="0"/>
                          </a:rPr>
                          <m:t>)}</m:t>
                        </m:r>
                      </m:e>
                    </m:nary>
                  </m:oMath>
                </m:oMathPara>
              </a14:m>
              <a:endParaRPr lang="en-GB" sz="1100"/>
            </a:p>
          </xdr:txBody>
        </xdr:sp>
      </mc:Choice>
      <mc:Fallback xmlns="">
        <xdr:sp macro="" textlink="">
          <xdr:nvSpPr>
            <xdr:cNvPr id="5" name="TextBox 4"/>
            <xdr:cNvSpPr txBox="1"/>
          </xdr:nvSpPr>
          <xdr:spPr>
            <a:xfrm>
              <a:off x="3806825" y="3422650"/>
              <a:ext cx="1701748"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b="0" i="0">
                  <a:latin typeface="Cambria Math" panose="02040503050406030204" pitchFamily="18" charset="0"/>
                </a:rPr>
                <a:t>𝐺_𝑡𝑜𝑡𝑎𝑙= ∑▒〖{𝐺_𝑊  ∗(1+𝑅)}〗</a:t>
              </a:r>
              <a:endParaRPr lang="en-GB" sz="1100"/>
            </a:p>
          </xdr:txBody>
        </xdr:sp>
      </mc:Fallback>
    </mc:AlternateContent>
    <xdr:clientData/>
  </xdr:oneCellAnchor>
  <xdr:oneCellAnchor>
    <xdr:from>
      <xdr:col>4</xdr:col>
      <xdr:colOff>104775</xdr:colOff>
      <xdr:row>11</xdr:row>
      <xdr:rowOff>431800</xdr:rowOff>
    </xdr:from>
    <xdr:ext cx="1174552" cy="172227"/>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6086475" y="3035300"/>
              <a:ext cx="117455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𝐿</m:t>
                        </m:r>
                      </m:sub>
                    </m:sSub>
                    <m:r>
                      <a:rPr lang="en-GB" sz="1100" b="0" i="1">
                        <a:latin typeface="Cambria Math" panose="02040503050406030204" pitchFamily="18" charset="0"/>
                        <a:ea typeface="Cambria Math" panose="02040503050406030204" pitchFamily="18" charset="0"/>
                      </a:rPr>
                      <m:t>=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𝐿</m:t>
                        </m:r>
                      </m:e>
                      <m:sub>
                        <m:r>
                          <a:rPr lang="en-GB" sz="1100" b="0" i="1">
                            <a:latin typeface="Cambria Math" panose="02040503050406030204" pitchFamily="18" charset="0"/>
                            <a:ea typeface="Cambria Math" panose="02040503050406030204" pitchFamily="18" charset="0"/>
                          </a:rPr>
                          <m:t>𝑑𝑖𝑠𝑡𝑢𝑟𝑏𝑎𝑛𝑐𝑒</m:t>
                        </m:r>
                      </m:sub>
                    </m:sSub>
                  </m:oMath>
                </m:oMathPara>
              </a14:m>
              <a:endParaRPr lang="en-GB" sz="1100"/>
            </a:p>
          </xdr:txBody>
        </xdr:sp>
      </mc:Choice>
      <mc:Fallback xmlns="">
        <xdr:sp macro="" textlink="">
          <xdr:nvSpPr>
            <xdr:cNvPr id="6" name="TextBox 5"/>
            <xdr:cNvSpPr txBox="1"/>
          </xdr:nvSpPr>
          <xdr:spPr>
            <a:xfrm>
              <a:off x="6086475" y="3035300"/>
              <a:ext cx="117455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𝐶_𝐿= 𝐿_𝑑𝑖𝑠𝑡𝑢𝑟𝑏𝑎𝑛𝑐𝑒</a:t>
              </a:r>
              <a:endParaRPr lang="en-GB" sz="1100"/>
            </a:p>
          </xdr:txBody>
        </xdr:sp>
      </mc:Fallback>
    </mc:AlternateContent>
    <xdr:clientData/>
  </xdr:oneCellAnchor>
  <xdr:oneCellAnchor>
    <xdr:from>
      <xdr:col>4</xdr:col>
      <xdr:colOff>101600</xdr:colOff>
      <xdr:row>11</xdr:row>
      <xdr:rowOff>857250</xdr:rowOff>
    </xdr:from>
    <xdr:ext cx="3276600" cy="172227"/>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6083300" y="3460750"/>
              <a:ext cx="327660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𝐿</m:t>
                        </m:r>
                      </m:e>
                      <m:sub>
                        <m:r>
                          <a:rPr lang="en-GB" sz="1100" b="0" i="1">
                            <a:latin typeface="Cambria Math" panose="02040503050406030204" pitchFamily="18" charset="0"/>
                            <a:ea typeface="Cambria Math" panose="02040503050406030204" pitchFamily="18" charset="0"/>
                          </a:rPr>
                          <m:t>𝑑𝑖𝑠𝑡𝑢𝑟𝑏𝑎𝑛𝑐𝑒</m:t>
                        </m:r>
                      </m:sub>
                    </m:sSub>
                    <m:r>
                      <a:rPr lang="en-GB" sz="1100" b="0" i="1">
                        <a:latin typeface="Cambria Math" panose="02040503050406030204" pitchFamily="18" charset="0"/>
                        <a:ea typeface="Cambria Math" panose="02040503050406030204" pitchFamily="18" charset="0"/>
                      </a:rPr>
                      <m:t>={</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𝐴</m:t>
                        </m:r>
                      </m:e>
                      <m:sub>
                        <m:r>
                          <a:rPr lang="en-GB" sz="1100" b="0" i="1">
                            <a:latin typeface="Cambria Math" panose="02040503050406030204" pitchFamily="18" charset="0"/>
                            <a:ea typeface="Cambria Math" panose="02040503050406030204" pitchFamily="18" charset="0"/>
                          </a:rPr>
                          <m:t>𝑑𝑖𝑠𝑡𝑢𝑟𝑏𝑎𝑛𝑐𝑒</m:t>
                        </m:r>
                      </m:sub>
                    </m:sSub>
                    <m:r>
                      <a:rPr lang="en-GB" sz="1100" b="0" i="1">
                        <a:solidFill>
                          <a:schemeClr val="tx1"/>
                        </a:solidFill>
                        <a:effectLst/>
                        <a:latin typeface="Cambria Math" panose="02040503050406030204" pitchFamily="18" charset="0"/>
                        <a:ea typeface="+mn-ea"/>
                        <a:cs typeface="+mn-cs"/>
                      </a:rPr>
                      <m:t>∗ </m:t>
                    </m:r>
                    <m:sSub>
                      <m:sSubPr>
                        <m:ctrlPr>
                          <a:rPr lang="en-GB" sz="1100" b="0" i="1">
                            <a:solidFill>
                              <a:schemeClr val="tx1"/>
                            </a:solidFill>
                            <a:effectLst/>
                            <a:latin typeface="Cambria Math" panose="02040503050406030204" pitchFamily="18" charset="0"/>
                            <a:ea typeface="+mn-ea"/>
                            <a:cs typeface="+mn-cs"/>
                          </a:rPr>
                        </m:ctrlPr>
                      </m:sSubPr>
                      <m:e>
                        <m:r>
                          <a:rPr lang="en-GB" sz="1100" b="0" i="1">
                            <a:solidFill>
                              <a:schemeClr val="tx1"/>
                            </a:solidFill>
                            <a:effectLst/>
                            <a:latin typeface="Cambria Math" panose="02040503050406030204" pitchFamily="18" charset="0"/>
                            <a:ea typeface="+mn-ea"/>
                            <a:cs typeface="+mn-cs"/>
                          </a:rPr>
                          <m:t>𝐵</m:t>
                        </m:r>
                      </m:e>
                      <m:sub>
                        <m:r>
                          <a:rPr lang="en-GB" sz="1100" b="0" i="1">
                            <a:solidFill>
                              <a:schemeClr val="tx1"/>
                            </a:solidFill>
                            <a:effectLst/>
                            <a:latin typeface="Cambria Math" panose="02040503050406030204" pitchFamily="18" charset="0"/>
                            <a:ea typeface="+mn-ea"/>
                            <a:cs typeface="+mn-cs"/>
                          </a:rPr>
                          <m:t>𝑊</m:t>
                        </m:r>
                      </m:sub>
                    </m:sSub>
                    <m:r>
                      <a:rPr lang="en-GB" sz="1100" b="0" i="1">
                        <a:solidFill>
                          <a:schemeClr val="tx1"/>
                        </a:solidFill>
                        <a:effectLst/>
                        <a:latin typeface="Cambria Math" panose="02040503050406030204" pitchFamily="18" charset="0"/>
                        <a:ea typeface="+mn-ea"/>
                        <a:cs typeface="+mn-cs"/>
                      </a:rPr>
                      <m:t>∗</m:t>
                    </m:r>
                    <m:d>
                      <m:dPr>
                        <m:ctrlPr>
                          <a:rPr lang="en-GB" sz="1100" b="0" i="1">
                            <a:solidFill>
                              <a:schemeClr val="tx1"/>
                            </a:solidFill>
                            <a:effectLst/>
                            <a:latin typeface="Cambria Math" panose="02040503050406030204" pitchFamily="18" charset="0"/>
                            <a:ea typeface="+mn-ea"/>
                            <a:cs typeface="+mn-cs"/>
                          </a:rPr>
                        </m:ctrlPr>
                      </m:dPr>
                      <m:e>
                        <m:r>
                          <a:rPr lang="en-GB" sz="1100" b="0" i="1">
                            <a:solidFill>
                              <a:schemeClr val="tx1"/>
                            </a:solidFill>
                            <a:effectLst/>
                            <a:latin typeface="Cambria Math" panose="02040503050406030204" pitchFamily="18" charset="0"/>
                            <a:ea typeface="+mn-ea"/>
                            <a:cs typeface="+mn-cs"/>
                          </a:rPr>
                          <m:t>1+</m:t>
                        </m:r>
                        <m:r>
                          <a:rPr lang="en-GB" sz="1100" b="0" i="1">
                            <a:solidFill>
                              <a:schemeClr val="tx1"/>
                            </a:solidFill>
                            <a:effectLst/>
                            <a:latin typeface="Cambria Math" panose="02040503050406030204" pitchFamily="18" charset="0"/>
                            <a:ea typeface="+mn-ea"/>
                            <a:cs typeface="+mn-cs"/>
                          </a:rPr>
                          <m:t>𝑅</m:t>
                        </m:r>
                      </m:e>
                    </m:d>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𝐶𝐹</m:t>
                    </m:r>
                    <m:r>
                      <a:rPr lang="en-GB" sz="1100" b="0" i="1">
                        <a:solidFill>
                          <a:schemeClr val="tx1"/>
                        </a:solidFill>
                        <a:effectLst/>
                        <a:latin typeface="Cambria Math" panose="02040503050406030204" pitchFamily="18" charset="0"/>
                        <a:ea typeface="+mn-ea"/>
                        <a:cs typeface="+mn-cs"/>
                      </a:rPr>
                      <m:t> ∗</m:t>
                    </m:r>
                    <m:r>
                      <a:rPr lang="en-GB" sz="1100" b="0" i="1">
                        <a:solidFill>
                          <a:schemeClr val="tx1"/>
                        </a:solidFill>
                        <a:effectLst/>
                        <a:latin typeface="Cambria Math" panose="02040503050406030204" pitchFamily="18" charset="0"/>
                        <a:ea typeface="+mn-ea"/>
                        <a:cs typeface="+mn-cs"/>
                      </a:rPr>
                      <m:t>𝑓𝑑</m:t>
                    </m:r>
                    <m:r>
                      <a:rPr lang="en-GB" sz="1100" b="0" i="1">
                        <a:solidFill>
                          <a:schemeClr val="tx1"/>
                        </a:solidFill>
                        <a:effectLst/>
                        <a:latin typeface="Cambria Math" panose="02040503050406030204" pitchFamily="18" charset="0"/>
                        <a:ea typeface="+mn-ea"/>
                        <a:cs typeface="+mn-cs"/>
                      </a:rPr>
                      <m:t>}</m:t>
                    </m:r>
                  </m:oMath>
                </m:oMathPara>
              </a14:m>
              <a:endParaRPr lang="en-GB" sz="1100"/>
            </a:p>
          </xdr:txBody>
        </xdr:sp>
      </mc:Choice>
      <mc:Fallback xmlns="">
        <xdr:sp macro="" textlink="">
          <xdr:nvSpPr>
            <xdr:cNvPr id="7" name="TextBox 6"/>
            <xdr:cNvSpPr txBox="1"/>
          </xdr:nvSpPr>
          <xdr:spPr>
            <a:xfrm>
              <a:off x="6083300" y="3460750"/>
              <a:ext cx="327660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GB" sz="1100" b="0" i="0">
                  <a:latin typeface="Cambria Math" panose="02040503050406030204" pitchFamily="18" charset="0"/>
                  <a:ea typeface="Cambria Math" panose="02040503050406030204" pitchFamily="18" charset="0"/>
                </a:rPr>
                <a:t>𝐿_𝑑𝑖𝑠𝑡𝑢𝑟𝑏𝑎𝑛𝑐𝑒={𝐴_𝑑𝑖𝑠𝑡𝑢𝑟𝑏𝑎𝑛𝑐𝑒</a:t>
              </a:r>
              <a:r>
                <a:rPr lang="en-GB" sz="1100" b="0" i="0">
                  <a:solidFill>
                    <a:schemeClr val="tx1"/>
                  </a:solidFill>
                  <a:effectLst/>
                  <a:latin typeface="Cambria Math" panose="02040503050406030204" pitchFamily="18" charset="0"/>
                  <a:ea typeface="+mn-ea"/>
                  <a:cs typeface="+mn-cs"/>
                </a:rPr>
                <a:t>∗ 𝐵_𝑊∗(1+𝑅)∗𝐶𝐹 ∗𝑓𝑑}</a:t>
              </a:r>
              <a:endParaRPr lang="en-GB" sz="1100"/>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twoCellAnchor>
    <xdr:from>
      <xdr:col>5</xdr:col>
      <xdr:colOff>584200</xdr:colOff>
      <xdr:row>27</xdr:row>
      <xdr:rowOff>196850</xdr:rowOff>
    </xdr:from>
    <xdr:to>
      <xdr:col>8</xdr:col>
      <xdr:colOff>37142</xdr:colOff>
      <xdr:row>27</xdr:row>
      <xdr:rowOff>603634</xdr:rowOff>
    </xdr:to>
    <xdr:pic>
      <xdr:nvPicPr>
        <xdr:cNvPr id="2" name="Picture 1">
          <a:extLst>
            <a:ext uri="{FF2B5EF4-FFF2-40B4-BE49-F238E27FC236}">
              <a16:creationId xmlns:a16="http://schemas.microsoft.com/office/drawing/2014/main" id="{C5CE6BBF-C23F-439C-95F1-63AE9CA39F8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153150" y="1676400"/>
          <a:ext cx="2970842" cy="4004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768351</xdr:colOff>
      <xdr:row>27</xdr:row>
      <xdr:rowOff>304800</xdr:rowOff>
    </xdr:from>
    <xdr:to>
      <xdr:col>5</xdr:col>
      <xdr:colOff>241301</xdr:colOff>
      <xdr:row>27</xdr:row>
      <xdr:rowOff>588165</xdr:rowOff>
    </xdr:to>
    <xdr:pic>
      <xdr:nvPicPr>
        <xdr:cNvPr id="3" name="Picture 2">
          <a:extLst>
            <a:ext uri="{FF2B5EF4-FFF2-40B4-BE49-F238E27FC236}">
              <a16:creationId xmlns:a16="http://schemas.microsoft.com/office/drawing/2014/main" id="{44493349-BF3F-4736-8AB5-1E8AD4D60BA7}"/>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000501" y="1781175"/>
          <a:ext cx="1809750" cy="2833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28575</xdr:colOff>
      <xdr:row>27</xdr:row>
      <xdr:rowOff>298450</xdr:rowOff>
    </xdr:from>
    <xdr:ext cx="1226874" cy="17222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551CC72-3AA0-4023-A718-413378464350}"/>
                </a:ext>
              </a:extLst>
            </xdr:cNvPr>
            <xdr:cNvSpPr txBox="1"/>
          </xdr:nvSpPr>
          <xdr:spPr>
            <a:xfrm>
              <a:off x="2006600" y="1771650"/>
              <a:ext cx="122687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GB" sz="1100" i="1">
                        <a:latin typeface="Cambria Math" panose="02040503050406030204" pitchFamily="18" charset="0"/>
                        <a:ea typeface="Cambria Math" panose="02040503050406030204" pitchFamily="18" charset="0"/>
                      </a:rPr>
                      <m:t>∆</m:t>
                    </m:r>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𝑠𝑜𝑖𝑙𝑠</m:t>
                        </m:r>
                      </m:sub>
                    </m:sSub>
                    <m:r>
                      <a:rPr lang="en-GB" sz="1100" b="0" i="1">
                        <a:latin typeface="Cambria Math" panose="02040503050406030204" pitchFamily="18" charset="0"/>
                        <a:ea typeface="Cambria Math" panose="02040503050406030204" pitchFamily="18" charset="0"/>
                      </a:rPr>
                      <m:t>= ∆</m:t>
                    </m:r>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m:t>
                        </m:r>
                      </m:e>
                      <m:sub>
                        <m:r>
                          <a:rPr lang="en-GB" sz="1100" b="0" i="1">
                            <a:latin typeface="Cambria Math" panose="02040503050406030204" pitchFamily="18" charset="0"/>
                            <a:ea typeface="Cambria Math" panose="02040503050406030204" pitchFamily="18" charset="0"/>
                          </a:rPr>
                          <m:t>𝑚𝑖𝑛𝑒𝑟𝑎𝑙</m:t>
                        </m:r>
                      </m:sub>
                    </m:sSub>
                  </m:oMath>
                </m:oMathPara>
              </a14:m>
              <a:endParaRPr lang="en-GB" sz="1100"/>
            </a:p>
          </xdr:txBody>
        </xdr:sp>
      </mc:Choice>
      <mc:Fallback xmlns="">
        <xdr:sp macro="" textlink="">
          <xdr:nvSpPr>
            <xdr:cNvPr id="4" name="TextBox 3">
              <a:extLst>
                <a:ext uri="{FF2B5EF4-FFF2-40B4-BE49-F238E27FC236}">
                  <a16:creationId xmlns:a16="http://schemas.microsoft.com/office/drawing/2014/main" id="{0551CC72-3AA0-4023-A718-413378464350}"/>
                </a:ext>
              </a:extLst>
            </xdr:cNvPr>
            <xdr:cNvSpPr txBox="1"/>
          </xdr:nvSpPr>
          <xdr:spPr>
            <a:xfrm>
              <a:off x="2006600" y="1771650"/>
              <a:ext cx="122687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𝐶_𝑠𝑜𝑖𝑙𝑠= ∆𝐶_𝑚𝑖𝑛𝑒𝑟𝑎𝑙</a:t>
              </a:r>
              <a:endParaRPr lang="en-GB"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xdr:from>
      <xdr:col>4</xdr:col>
      <xdr:colOff>825500</xdr:colOff>
      <xdr:row>8</xdr:row>
      <xdr:rowOff>45554</xdr:rowOff>
    </xdr:from>
    <xdr:to>
      <xdr:col>6</xdr:col>
      <xdr:colOff>31750</xdr:colOff>
      <xdr:row>8</xdr:row>
      <xdr:rowOff>368300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71950" y="966304"/>
          <a:ext cx="2165350" cy="322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1403350</xdr:colOff>
      <xdr:row>10</xdr:row>
      <xdr:rowOff>19050</xdr:rowOff>
    </xdr:from>
    <xdr:to>
      <xdr:col>2</xdr:col>
      <xdr:colOff>641350</xdr:colOff>
      <xdr:row>11</xdr:row>
      <xdr:rowOff>12700</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09900" y="1682750"/>
          <a:ext cx="1714500" cy="17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1403350</xdr:colOff>
      <xdr:row>10</xdr:row>
      <xdr:rowOff>19050</xdr:rowOff>
    </xdr:from>
    <xdr:to>
      <xdr:col>2</xdr:col>
      <xdr:colOff>641350</xdr:colOff>
      <xdr:row>11</xdr:row>
      <xdr:rowOff>12700</xdr:rowOff>
    </xdr:to>
    <xdr:pic>
      <xdr:nvPicPr>
        <xdr:cNvPr id="2" name="Picture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09900" y="1682750"/>
          <a:ext cx="1714500" cy="17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2</xdr:col>
      <xdr:colOff>1037577</xdr:colOff>
      <xdr:row>6</xdr:row>
      <xdr:rowOff>46759</xdr:rowOff>
    </xdr:from>
    <xdr:ext cx="3503780" cy="182614"/>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3493342" y="979820"/>
              <a:ext cx="3503780" cy="182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b="0" i="1">
                            <a:latin typeface="Cambria Math" panose="02040503050406030204" pitchFamily="18" charset="0"/>
                          </a:rPr>
                        </m:ctrlPr>
                      </m:sSubPr>
                      <m:e>
                        <m:r>
                          <a:rPr lang="en-GB" sz="1100" b="0" i="1">
                            <a:latin typeface="Cambria Math" panose="02040503050406030204" pitchFamily="18" charset="0"/>
                          </a:rPr>
                          <m:t>𝑁</m:t>
                        </m:r>
                      </m:e>
                      <m:sub>
                        <m:r>
                          <a:rPr lang="en-GB" sz="1100" b="0" i="1">
                            <a:latin typeface="Cambria Math" panose="02040503050406030204" pitchFamily="18" charset="0"/>
                          </a:rPr>
                          <m:t>2</m:t>
                        </m:r>
                      </m:sub>
                    </m:sSub>
                    <m:sSub>
                      <m:sSubPr>
                        <m:ctrlPr>
                          <a:rPr lang="en-GB" sz="1100" b="0" i="1">
                            <a:latin typeface="Cambria Math" panose="02040503050406030204" pitchFamily="18" charset="0"/>
                          </a:rPr>
                        </m:ctrlPr>
                      </m:sSubPr>
                      <m:e>
                        <m:r>
                          <a:rPr lang="en-GB" sz="1100" b="0" i="1">
                            <a:latin typeface="Cambria Math" panose="02040503050406030204" pitchFamily="18" charset="0"/>
                          </a:rPr>
                          <m:t>𝑂</m:t>
                        </m:r>
                      </m:e>
                      <m:sub>
                        <m:r>
                          <a:rPr lang="en-GB" sz="1100" b="0" i="1">
                            <a:latin typeface="Cambria Math" panose="02040503050406030204" pitchFamily="18" charset="0"/>
                          </a:rPr>
                          <m:t>𝑑𝑖𝑟𝑒𝑐𝑡</m:t>
                        </m:r>
                      </m:sub>
                    </m:sSub>
                    <m:r>
                      <a:rPr lang="en-GB" sz="1100" b="0" i="1">
                        <a:latin typeface="Cambria Math" panose="02040503050406030204" pitchFamily="18" charset="0"/>
                      </a:rPr>
                      <m:t>𝑁</m:t>
                    </m:r>
                    <m:r>
                      <a:rPr lang="en-GB" sz="1100" b="0" i="1">
                        <a:latin typeface="Cambria Math" panose="02040503050406030204" pitchFamily="18" charset="0"/>
                      </a:rPr>
                      <m:t>= </m:t>
                    </m:r>
                    <m:sSub>
                      <m:sSubPr>
                        <m:ctrlPr>
                          <a:rPr lang="en-GB" sz="1100" b="0" i="1">
                            <a:latin typeface="Cambria Math" panose="02040503050406030204" pitchFamily="18" charset="0"/>
                          </a:rPr>
                        </m:ctrlPr>
                      </m:sSubPr>
                      <m:e>
                        <m:r>
                          <a:rPr lang="en-GB" sz="1100" b="0" i="1">
                            <a:latin typeface="Cambria Math" panose="02040503050406030204" pitchFamily="18" charset="0"/>
                          </a:rPr>
                          <m:t>𝑁</m:t>
                        </m:r>
                      </m:e>
                      <m:sub>
                        <m:r>
                          <a:rPr lang="en-GB" sz="1100" b="0" i="1">
                            <a:latin typeface="Cambria Math" panose="02040503050406030204" pitchFamily="18" charset="0"/>
                          </a:rPr>
                          <m:t>2</m:t>
                        </m:r>
                      </m:sub>
                    </m:sSub>
                    <m:r>
                      <a:rPr lang="en-GB" sz="1100" b="0" i="1">
                        <a:latin typeface="Cambria Math" panose="02040503050406030204" pitchFamily="18" charset="0"/>
                      </a:rPr>
                      <m:t>𝑂</m:t>
                    </m:r>
                    <m:sSub>
                      <m:sSubPr>
                        <m:ctrlPr>
                          <a:rPr lang="en-GB" sz="1100" b="0" i="1">
                            <a:latin typeface="Cambria Math" panose="02040503050406030204" pitchFamily="18" charset="0"/>
                          </a:rPr>
                        </m:ctrlPr>
                      </m:sSubPr>
                      <m:e>
                        <m:r>
                          <a:rPr lang="en-GB" sz="1100" b="0" i="1">
                            <a:latin typeface="Cambria Math" panose="02040503050406030204" pitchFamily="18" charset="0"/>
                          </a:rPr>
                          <m:t> −</m:t>
                        </m:r>
                        <m:r>
                          <a:rPr lang="en-GB" sz="1100" b="0" i="1">
                            <a:latin typeface="Cambria Math" panose="02040503050406030204" pitchFamily="18" charset="0"/>
                          </a:rPr>
                          <m:t>𝑁</m:t>
                        </m:r>
                      </m:e>
                      <m:sub>
                        <m:r>
                          <a:rPr lang="en-GB" sz="1100" b="0" i="1">
                            <a:latin typeface="Cambria Math" panose="02040503050406030204" pitchFamily="18" charset="0"/>
                          </a:rPr>
                          <m:t>𝑖𝑛𝑝𝑢𝑡𝑠</m:t>
                        </m:r>
                      </m:sub>
                    </m:sSub>
                    <m:r>
                      <a:rPr lang="en-GB" sz="1100" b="0" i="1">
                        <a:latin typeface="Cambria Math" panose="02040503050406030204" pitchFamily="18" charset="0"/>
                      </a:rPr>
                      <m:t>=</m:t>
                    </m:r>
                    <m:sSub>
                      <m:sSubPr>
                        <m:ctrlPr>
                          <a:rPr lang="en-GB" sz="1100" i="1">
                            <a:latin typeface="Cambria Math" panose="02040503050406030204" pitchFamily="18" charset="0"/>
                          </a:rPr>
                        </m:ctrlPr>
                      </m:sSubPr>
                      <m:e>
                        <m:r>
                          <a:rPr lang="en-GB" sz="1100" b="0" i="1">
                            <a:latin typeface="Cambria Math" panose="02040503050406030204" pitchFamily="18" charset="0"/>
                          </a:rPr>
                          <m:t>(</m:t>
                        </m:r>
                        <m:r>
                          <a:rPr lang="en-GB" sz="1100" b="0" i="1">
                            <a:latin typeface="Cambria Math" panose="02040503050406030204" pitchFamily="18" charset="0"/>
                          </a:rPr>
                          <m:t>𝐹</m:t>
                        </m:r>
                      </m:e>
                      <m:sub>
                        <m:r>
                          <a:rPr lang="en-GB" sz="1100" b="0" i="1">
                            <a:latin typeface="Cambria Math" panose="02040503050406030204" pitchFamily="18" charset="0"/>
                          </a:rPr>
                          <m:t>𝑆𝑁</m:t>
                        </m:r>
                      </m:sub>
                    </m:sSub>
                    <m:r>
                      <a:rPr lang="en-GB" sz="1100" b="0" i="1">
                        <a:latin typeface="Cambria Math" panose="02040503050406030204" pitchFamily="18" charset="0"/>
                      </a:rPr>
                      <m:t>+ </m:t>
                    </m:r>
                    <m:sSub>
                      <m:sSubPr>
                        <m:ctrlPr>
                          <a:rPr lang="en-GB" sz="1100" b="0" i="1">
                            <a:latin typeface="Cambria Math" panose="02040503050406030204" pitchFamily="18" charset="0"/>
                          </a:rPr>
                        </m:ctrlPr>
                      </m:sSubPr>
                      <m:e>
                        <m:r>
                          <a:rPr lang="en-GB" sz="1100" b="0" i="1">
                            <a:latin typeface="Cambria Math" panose="02040503050406030204" pitchFamily="18" charset="0"/>
                          </a:rPr>
                          <m:t>𝐹</m:t>
                        </m:r>
                      </m:e>
                      <m:sub>
                        <m:r>
                          <a:rPr lang="en-GB" sz="1100" b="0" i="1">
                            <a:latin typeface="Cambria Math" panose="02040503050406030204" pitchFamily="18" charset="0"/>
                          </a:rPr>
                          <m:t>𝐶𝑅</m:t>
                        </m:r>
                      </m:sub>
                    </m:sSub>
                    <m:r>
                      <a:rPr lang="en-GB" sz="1100" b="0" i="1">
                        <a:latin typeface="Cambria Math" panose="02040503050406030204" pitchFamily="18" charset="0"/>
                      </a:rPr>
                      <m:t>+ </m:t>
                    </m:r>
                    <m:sSub>
                      <m:sSubPr>
                        <m:ctrlPr>
                          <a:rPr lang="en-GB" sz="1100" b="0" i="1">
                            <a:latin typeface="Cambria Math" panose="02040503050406030204" pitchFamily="18" charset="0"/>
                          </a:rPr>
                        </m:ctrlPr>
                      </m:sSubPr>
                      <m:e>
                        <m:r>
                          <a:rPr lang="en-GB" sz="1100" b="0" i="1">
                            <a:latin typeface="Cambria Math" panose="02040503050406030204" pitchFamily="18" charset="0"/>
                          </a:rPr>
                          <m:t>𝐹</m:t>
                        </m:r>
                      </m:e>
                      <m:sub>
                        <m:r>
                          <a:rPr lang="en-GB" sz="1100" b="0" i="1">
                            <a:latin typeface="Cambria Math" panose="02040503050406030204" pitchFamily="18" charset="0"/>
                          </a:rPr>
                          <m:t>𝑆𝑂𝑀</m:t>
                        </m:r>
                      </m:sub>
                    </m:sSub>
                    <m:r>
                      <a:rPr lang="en-GB" sz="1100" b="0" i="1">
                        <a:latin typeface="Cambria Math" panose="02040503050406030204" pitchFamily="18" charset="0"/>
                      </a:rPr>
                      <m:t>) ∗ </m:t>
                    </m:r>
                    <m:sSub>
                      <m:sSubPr>
                        <m:ctrlPr>
                          <a:rPr lang="en-GB" sz="1100" b="0" i="1">
                            <a:latin typeface="Cambria Math" panose="02040503050406030204" pitchFamily="18" charset="0"/>
                          </a:rPr>
                        </m:ctrlPr>
                      </m:sSubPr>
                      <m:e>
                        <m:r>
                          <a:rPr lang="en-GB" sz="1100" b="0" i="1">
                            <a:latin typeface="Cambria Math" panose="02040503050406030204" pitchFamily="18" charset="0"/>
                          </a:rPr>
                          <m:t>𝐸𝐹</m:t>
                        </m:r>
                      </m:e>
                      <m:sub>
                        <m:r>
                          <a:rPr lang="en-GB" sz="1100" b="0" i="1">
                            <a:latin typeface="Cambria Math" panose="02040503050406030204" pitchFamily="18" charset="0"/>
                          </a:rPr>
                          <m:t>1</m:t>
                        </m:r>
                      </m:sub>
                    </m:sSub>
                  </m:oMath>
                </m:oMathPara>
              </a14:m>
              <a:endParaRPr lang="en-GB" sz="1100"/>
            </a:p>
          </xdr:txBody>
        </xdr:sp>
      </mc:Choice>
      <mc:Fallback xmlns="">
        <xdr:sp macro="" textlink="">
          <xdr:nvSpPr>
            <xdr:cNvPr id="3" name="TextBox 2"/>
            <xdr:cNvSpPr txBox="1"/>
          </xdr:nvSpPr>
          <xdr:spPr>
            <a:xfrm>
              <a:off x="3493342" y="979820"/>
              <a:ext cx="3503780" cy="182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b="0" i="0">
                  <a:latin typeface="Cambria Math" panose="02040503050406030204" pitchFamily="18" charset="0"/>
                </a:rPr>
                <a:t>𝑁_2 𝑂_𝑑𝑖𝑟𝑒𝑐𝑡 𝑁= 𝑁_2 𝑂〖 −𝑁〗_𝑖𝑛𝑝𝑢𝑡𝑠=</a:t>
              </a:r>
              <a:r>
                <a:rPr lang="en-GB" sz="1100" i="0">
                  <a:latin typeface="Cambria Math" panose="02040503050406030204" pitchFamily="18" charset="0"/>
                </a:rPr>
                <a:t>〖</a:t>
              </a:r>
              <a:r>
                <a:rPr lang="en-GB" sz="1100" b="0" i="0">
                  <a:latin typeface="Cambria Math" panose="02040503050406030204" pitchFamily="18" charset="0"/>
                </a:rPr>
                <a:t>(𝐹〗_𝑆𝑁+ 𝐹_𝐶𝑅+ 𝐹_𝑆𝑂𝑀) ∗ 〖𝐸𝐹〗_1</a:t>
              </a:r>
              <a:endParaRPr lang="en-GB" sz="1100"/>
            </a:p>
          </xdr:txBody>
        </xdr:sp>
      </mc:Fallback>
    </mc:AlternateContent>
    <xdr:clientData/>
  </xdr:oneCellAnchor>
  <xdr:twoCellAnchor>
    <xdr:from>
      <xdr:col>2</xdr:col>
      <xdr:colOff>1058140</xdr:colOff>
      <xdr:row>6</xdr:row>
      <xdr:rowOff>1172441</xdr:rowOff>
    </xdr:from>
    <xdr:to>
      <xdr:col>2</xdr:col>
      <xdr:colOff>3402445</xdr:colOff>
      <xdr:row>6</xdr:row>
      <xdr:rowOff>1588079</xdr:rowOff>
    </xdr:to>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511549" y="2096077"/>
          <a:ext cx="2344305" cy="415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975591</xdr:colOff>
      <xdr:row>6</xdr:row>
      <xdr:rowOff>243031</xdr:rowOff>
    </xdr:from>
    <xdr:ext cx="4670137" cy="409856"/>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429000" y="1166667"/>
              <a:ext cx="4670137" cy="4098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b="0" i="1">
                            <a:latin typeface="Cambria Math" panose="02040503050406030204" pitchFamily="18" charset="0"/>
                          </a:rPr>
                          <m:t>𝐹</m:t>
                        </m:r>
                      </m:e>
                      <m:sub>
                        <m:r>
                          <a:rPr lang="en-GB" sz="1100" b="0" i="1">
                            <a:latin typeface="Cambria Math" panose="02040503050406030204" pitchFamily="18" charset="0"/>
                          </a:rPr>
                          <m:t>𝐶𝑅</m:t>
                        </m:r>
                      </m:sub>
                    </m:sSub>
                    <m:r>
                      <a:rPr lang="en-GB" sz="1100" b="0" i="1">
                        <a:latin typeface="Cambria Math" panose="02040503050406030204" pitchFamily="18" charset="0"/>
                      </a:rPr>
                      <m:t>= </m:t>
                    </m:r>
                    <m:nary>
                      <m:naryPr>
                        <m:chr m:val="∑"/>
                        <m:supHide m:val="on"/>
                        <m:ctrlPr>
                          <a:rPr lang="en-GB" sz="1100" b="0" i="1">
                            <a:latin typeface="Cambria Math" panose="02040503050406030204" pitchFamily="18" charset="0"/>
                          </a:rPr>
                        </m:ctrlPr>
                      </m:naryPr>
                      <m:sub>
                        <m:r>
                          <m:rPr>
                            <m:brk m:alnAt="7"/>
                          </m:rPr>
                          <a:rPr lang="en-GB" sz="1100" b="0" i="1">
                            <a:latin typeface="Cambria Math" panose="02040503050406030204" pitchFamily="18" charset="0"/>
                          </a:rPr>
                          <m:t>𝑇</m:t>
                        </m:r>
                      </m:sub>
                      <m:sup/>
                      <m:e>
                        <m:d>
                          <m:dPr>
                            <m:begChr m:val="{"/>
                            <m:endChr m:val="}"/>
                            <m:ctrlPr>
                              <a:rPr lang="en-GB" sz="1100" b="0" i="1">
                                <a:latin typeface="Cambria Math" panose="02040503050406030204" pitchFamily="18" charset="0"/>
                              </a:rPr>
                            </m:ctrlPr>
                          </m:dPr>
                          <m:e>
                            <m:d>
                              <m:dPr>
                                <m:begChr m:val="["/>
                                <m:endChr m:val="]"/>
                                <m:ctrlPr>
                                  <a:rPr lang="en-GB" sz="1100" b="0" i="1">
                                    <a:latin typeface="Cambria Math" panose="02040503050406030204" pitchFamily="18" charset="0"/>
                                  </a:rPr>
                                </m:ctrlPr>
                              </m:dPr>
                              <m:e>
                                <m:sSub>
                                  <m:sSubPr>
                                    <m:ctrlPr>
                                      <a:rPr lang="en-GB" sz="1100" b="0" i="1">
                                        <a:solidFill>
                                          <a:schemeClr val="tx1"/>
                                        </a:solidFill>
                                        <a:effectLst/>
                                        <a:latin typeface="Cambria Math" panose="02040503050406030204" pitchFamily="18" charset="0"/>
                                        <a:ea typeface="+mn-ea"/>
                                        <a:cs typeface="+mn-cs"/>
                                      </a:rPr>
                                    </m:ctrlPr>
                                  </m:sSubPr>
                                  <m:e>
                                    <m:r>
                                      <a:rPr lang="en-GB" sz="1100" b="0" i="1">
                                        <a:solidFill>
                                          <a:schemeClr val="tx1"/>
                                        </a:solidFill>
                                        <a:effectLst/>
                                        <a:latin typeface="Cambria Math" panose="02040503050406030204" pitchFamily="18" charset="0"/>
                                        <a:ea typeface="+mn-ea"/>
                                        <a:cs typeface="+mn-cs"/>
                                      </a:rPr>
                                      <m:t>𝐴𝐺𝑅</m:t>
                                    </m:r>
                                  </m:e>
                                  <m:sub>
                                    <m:d>
                                      <m:dPr>
                                        <m:ctrlPr>
                                          <a:rPr lang="en-GB" sz="1100" b="0" i="1">
                                            <a:solidFill>
                                              <a:schemeClr val="tx1"/>
                                            </a:solidFill>
                                            <a:effectLst/>
                                            <a:latin typeface="Cambria Math" panose="02040503050406030204" pitchFamily="18" charset="0"/>
                                            <a:ea typeface="+mn-ea"/>
                                            <a:cs typeface="+mn-cs"/>
                                          </a:rPr>
                                        </m:ctrlPr>
                                      </m:dPr>
                                      <m:e>
                                        <m:r>
                                          <a:rPr lang="en-GB" sz="1100" b="0" i="1">
                                            <a:solidFill>
                                              <a:schemeClr val="tx1"/>
                                            </a:solidFill>
                                            <a:effectLst/>
                                            <a:latin typeface="Cambria Math" panose="02040503050406030204" pitchFamily="18" charset="0"/>
                                            <a:ea typeface="+mn-ea"/>
                                            <a:cs typeface="+mn-cs"/>
                                          </a:rPr>
                                          <m:t>𝑇</m:t>
                                        </m:r>
                                      </m:e>
                                    </m:d>
                                  </m:sub>
                                </m:sSub>
                                <m:r>
                                  <a:rPr lang="en-GB" sz="1100" b="0" i="1">
                                    <a:solidFill>
                                      <a:schemeClr val="tx1"/>
                                    </a:solidFill>
                                    <a:effectLst/>
                                    <a:latin typeface="Cambria Math" panose="02040503050406030204" pitchFamily="18" charset="0"/>
                                    <a:ea typeface="+mn-ea"/>
                                    <a:cs typeface="+mn-cs"/>
                                  </a:rPr>
                                  <m:t> ∗ </m:t>
                                </m:r>
                                <m:sSub>
                                  <m:sSubPr>
                                    <m:ctrlPr>
                                      <a:rPr lang="en-GB" sz="1100" b="0" i="1">
                                        <a:solidFill>
                                          <a:schemeClr val="tx1"/>
                                        </a:solidFill>
                                        <a:effectLst/>
                                        <a:latin typeface="Cambria Math" panose="02040503050406030204" pitchFamily="18" charset="0"/>
                                        <a:ea typeface="+mn-ea"/>
                                        <a:cs typeface="+mn-cs"/>
                                      </a:rPr>
                                    </m:ctrlPr>
                                  </m:sSubPr>
                                  <m:e>
                                    <m:r>
                                      <a:rPr lang="en-GB" sz="1100" b="0" i="1">
                                        <a:solidFill>
                                          <a:schemeClr val="tx1"/>
                                        </a:solidFill>
                                        <a:effectLst/>
                                        <a:latin typeface="Cambria Math" panose="02040503050406030204" pitchFamily="18" charset="0"/>
                                        <a:ea typeface="+mn-ea"/>
                                        <a:cs typeface="+mn-cs"/>
                                      </a:rPr>
                                      <m:t>𝑁</m:t>
                                    </m:r>
                                  </m:e>
                                  <m:sub>
                                    <m:r>
                                      <a:rPr lang="en-GB" sz="1100" b="0" i="1">
                                        <a:solidFill>
                                          <a:schemeClr val="tx1"/>
                                        </a:solidFill>
                                        <a:effectLst/>
                                        <a:latin typeface="Cambria Math" panose="02040503050406030204" pitchFamily="18" charset="0"/>
                                        <a:ea typeface="+mn-ea"/>
                                        <a:cs typeface="+mn-cs"/>
                                      </a:rPr>
                                      <m:t>𝐴𝐺</m:t>
                                    </m:r>
                                    <m:d>
                                      <m:dPr>
                                        <m:ctrlPr>
                                          <a:rPr lang="en-GB" sz="1100" b="0" i="1">
                                            <a:solidFill>
                                              <a:schemeClr val="tx1"/>
                                            </a:solidFill>
                                            <a:effectLst/>
                                            <a:latin typeface="Cambria Math" panose="02040503050406030204" pitchFamily="18" charset="0"/>
                                            <a:ea typeface="+mn-ea"/>
                                            <a:cs typeface="+mn-cs"/>
                                          </a:rPr>
                                        </m:ctrlPr>
                                      </m:dPr>
                                      <m:e>
                                        <m:r>
                                          <a:rPr lang="en-GB" sz="1100" b="0" i="1">
                                            <a:solidFill>
                                              <a:schemeClr val="tx1"/>
                                            </a:solidFill>
                                            <a:effectLst/>
                                            <a:latin typeface="Cambria Math" panose="02040503050406030204" pitchFamily="18" charset="0"/>
                                            <a:ea typeface="+mn-ea"/>
                                            <a:cs typeface="+mn-cs"/>
                                          </a:rPr>
                                          <m:t>𝑇</m:t>
                                        </m:r>
                                      </m:e>
                                    </m:d>
                                  </m:sub>
                                </m:sSub>
                                <m:r>
                                  <a:rPr lang="en-GB" sz="1100" b="0" i="1">
                                    <a:solidFill>
                                      <a:schemeClr val="tx1"/>
                                    </a:solidFill>
                                    <a:effectLst/>
                                    <a:latin typeface="Cambria Math" panose="02040503050406030204" pitchFamily="18" charset="0"/>
                                    <a:ea typeface="+mn-ea"/>
                                    <a:cs typeface="+mn-cs"/>
                                  </a:rPr>
                                  <m:t> ∗(1 − </m:t>
                                </m:r>
                                <m:sSub>
                                  <m:sSubPr>
                                    <m:ctrlPr>
                                      <a:rPr lang="en-GB" sz="1100" b="0" i="1">
                                        <a:solidFill>
                                          <a:schemeClr val="tx1"/>
                                        </a:solidFill>
                                        <a:effectLst/>
                                        <a:latin typeface="Cambria Math" panose="02040503050406030204" pitchFamily="18" charset="0"/>
                                        <a:ea typeface="+mn-ea"/>
                                        <a:cs typeface="+mn-cs"/>
                                      </a:rPr>
                                    </m:ctrlPr>
                                  </m:sSubPr>
                                  <m:e>
                                    <m:r>
                                      <a:rPr lang="en-GB" sz="1100" b="0" i="1">
                                        <a:solidFill>
                                          <a:schemeClr val="tx1"/>
                                        </a:solidFill>
                                        <a:effectLst/>
                                        <a:latin typeface="Cambria Math" panose="02040503050406030204" pitchFamily="18" charset="0"/>
                                        <a:ea typeface="+mn-ea"/>
                                        <a:cs typeface="+mn-cs"/>
                                      </a:rPr>
                                      <m:t>𝐹𝑟𝑎𝑐</m:t>
                                    </m:r>
                                  </m:e>
                                  <m:sub>
                                    <m:r>
                                      <a:rPr lang="en-GB" sz="1100" b="0" i="1">
                                        <a:solidFill>
                                          <a:schemeClr val="tx1"/>
                                        </a:solidFill>
                                        <a:effectLst/>
                                        <a:latin typeface="Cambria Math" panose="02040503050406030204" pitchFamily="18" charset="0"/>
                                        <a:ea typeface="+mn-ea"/>
                                        <a:cs typeface="+mn-cs"/>
                                      </a:rPr>
                                      <m:t>𝑟𝑒𝑚𝑜𝑣𝑒</m:t>
                                    </m:r>
                                    <m:d>
                                      <m:dPr>
                                        <m:ctrlPr>
                                          <a:rPr lang="en-GB" sz="1100" b="0" i="1">
                                            <a:solidFill>
                                              <a:schemeClr val="tx1"/>
                                            </a:solidFill>
                                            <a:effectLst/>
                                            <a:latin typeface="Cambria Math" panose="02040503050406030204" pitchFamily="18" charset="0"/>
                                            <a:ea typeface="+mn-ea"/>
                                            <a:cs typeface="+mn-cs"/>
                                          </a:rPr>
                                        </m:ctrlPr>
                                      </m:dPr>
                                      <m:e>
                                        <m:r>
                                          <a:rPr lang="en-GB" sz="1100" b="0" i="1">
                                            <a:solidFill>
                                              <a:schemeClr val="tx1"/>
                                            </a:solidFill>
                                            <a:effectLst/>
                                            <a:latin typeface="Cambria Math" panose="02040503050406030204" pitchFamily="18" charset="0"/>
                                            <a:ea typeface="+mn-ea"/>
                                            <a:cs typeface="+mn-cs"/>
                                          </a:rPr>
                                          <m:t>𝑇</m:t>
                                        </m:r>
                                      </m:e>
                                    </m:d>
                                  </m:sub>
                                </m:sSub>
                                <m:r>
                                  <a:rPr lang="en-GB" sz="1100" b="0" i="1">
                                    <a:solidFill>
                                      <a:schemeClr val="tx1"/>
                                    </a:solidFill>
                                    <a:effectLst/>
                                    <a:latin typeface="Cambria Math" panose="02040503050406030204" pitchFamily="18" charset="0"/>
                                    <a:ea typeface="+mn-ea"/>
                                    <a:cs typeface="+mn-cs"/>
                                  </a:rPr>
                                  <m:t>)</m:t>
                                </m:r>
                              </m:e>
                            </m:d>
                            <m:r>
                              <a:rPr lang="en-GB" sz="1100" b="0" i="1">
                                <a:latin typeface="Cambria Math" panose="02040503050406030204" pitchFamily="18" charset="0"/>
                              </a:rPr>
                              <m:t>+ </m:t>
                            </m:r>
                            <m:d>
                              <m:dPr>
                                <m:begChr m:val="["/>
                                <m:endChr m:val="]"/>
                                <m:ctrlPr>
                                  <a:rPr lang="en-GB" sz="1100" b="0" i="1">
                                    <a:latin typeface="Cambria Math" panose="02040503050406030204" pitchFamily="18" charset="0"/>
                                  </a:rPr>
                                </m:ctrlPr>
                              </m:dPr>
                              <m:e>
                                <m:sSub>
                                  <m:sSubPr>
                                    <m:ctrlPr>
                                      <a:rPr lang="en-GB" sz="1100" b="0" i="1">
                                        <a:latin typeface="Cambria Math" panose="02040503050406030204" pitchFamily="18" charset="0"/>
                                      </a:rPr>
                                    </m:ctrlPr>
                                  </m:sSubPr>
                                  <m:e>
                                    <m:r>
                                      <a:rPr lang="en-GB" sz="1100" b="0" i="1">
                                        <a:latin typeface="Cambria Math" panose="02040503050406030204" pitchFamily="18" charset="0"/>
                                      </a:rPr>
                                      <m:t>𝐵𝐺𝑅</m:t>
                                    </m:r>
                                  </m:e>
                                  <m:sub>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1">
                                    <a:latin typeface="Cambria Math" panose="02040503050406030204" pitchFamily="18" charset="0"/>
                                  </a:rPr>
                                  <m:t> ∗ </m:t>
                                </m:r>
                                <m:sSub>
                                  <m:sSubPr>
                                    <m:ctrlPr>
                                      <a:rPr lang="en-GB" sz="1100" b="0" i="1">
                                        <a:solidFill>
                                          <a:schemeClr val="tx1"/>
                                        </a:solidFill>
                                        <a:effectLst/>
                                        <a:latin typeface="Cambria Math" panose="02040503050406030204" pitchFamily="18" charset="0"/>
                                        <a:ea typeface="+mn-ea"/>
                                        <a:cs typeface="+mn-cs"/>
                                      </a:rPr>
                                    </m:ctrlPr>
                                  </m:sSubPr>
                                  <m:e>
                                    <m:r>
                                      <a:rPr lang="en-GB" sz="1100" b="0" i="1">
                                        <a:solidFill>
                                          <a:schemeClr val="tx1"/>
                                        </a:solidFill>
                                        <a:effectLst/>
                                        <a:latin typeface="Cambria Math" panose="02040503050406030204" pitchFamily="18" charset="0"/>
                                        <a:ea typeface="+mn-ea"/>
                                        <a:cs typeface="+mn-cs"/>
                                      </a:rPr>
                                      <m:t>𝑁</m:t>
                                    </m:r>
                                  </m:e>
                                  <m:sub>
                                    <m:r>
                                      <a:rPr lang="en-GB" sz="1100" b="0" i="1">
                                        <a:solidFill>
                                          <a:schemeClr val="tx1"/>
                                        </a:solidFill>
                                        <a:effectLst/>
                                        <a:latin typeface="Cambria Math" panose="02040503050406030204" pitchFamily="18" charset="0"/>
                                        <a:ea typeface="+mn-ea"/>
                                        <a:cs typeface="+mn-cs"/>
                                      </a:rPr>
                                      <m:t>𝐵𝐺</m:t>
                                    </m:r>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𝑇</m:t>
                                    </m:r>
                                    <m:r>
                                      <a:rPr lang="en-GB" sz="1100" b="0" i="1">
                                        <a:solidFill>
                                          <a:schemeClr val="tx1"/>
                                        </a:solidFill>
                                        <a:effectLst/>
                                        <a:latin typeface="Cambria Math" panose="02040503050406030204" pitchFamily="18" charset="0"/>
                                        <a:ea typeface="+mn-ea"/>
                                        <a:cs typeface="+mn-cs"/>
                                      </a:rPr>
                                      <m:t>)</m:t>
                                    </m:r>
                                  </m:sub>
                                </m:sSub>
                                <m:r>
                                  <a:rPr lang="en-GB" sz="1100" b="0" i="1">
                                    <a:latin typeface="Cambria Math" panose="02040503050406030204" pitchFamily="18" charset="0"/>
                                  </a:rPr>
                                  <m:t> </m:t>
                                </m:r>
                              </m:e>
                            </m:d>
                          </m:e>
                        </m:d>
                      </m:e>
                    </m:nary>
                  </m:oMath>
                </m:oMathPara>
              </a14:m>
              <a:endParaRPr lang="en-GB" sz="1100"/>
            </a:p>
          </xdr:txBody>
        </xdr:sp>
      </mc:Choice>
      <mc:Fallback xmlns="">
        <xdr:sp macro="" textlink="">
          <xdr:nvSpPr>
            <xdr:cNvPr id="2" name="TextBox 1"/>
            <xdr:cNvSpPr txBox="1"/>
          </xdr:nvSpPr>
          <xdr:spPr>
            <a:xfrm>
              <a:off x="3429000" y="1166667"/>
              <a:ext cx="4670137" cy="4098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GB" sz="1100" b="0" i="0">
                  <a:latin typeface="Cambria Math" panose="02040503050406030204" pitchFamily="18" charset="0"/>
                </a:rPr>
                <a:t>𝐹_𝐶𝑅= ∑_𝑇▒{[</a:t>
              </a:r>
              <a:r>
                <a:rPr lang="en-GB" sz="1100" b="0" i="0">
                  <a:solidFill>
                    <a:schemeClr val="tx1"/>
                  </a:solidFill>
                  <a:effectLst/>
                  <a:latin typeface="+mn-lt"/>
                  <a:ea typeface="+mn-ea"/>
                  <a:cs typeface="+mn-cs"/>
                </a:rPr>
                <a:t>〖</a:t>
              </a:r>
              <a:r>
                <a:rPr lang="en-GB" sz="1100" b="0" i="0">
                  <a:solidFill>
                    <a:schemeClr val="tx1"/>
                  </a:solidFill>
                  <a:effectLst/>
                  <a:latin typeface="+mn-lt"/>
                  <a:ea typeface="+mn-ea"/>
                  <a:cs typeface="+mn-cs"/>
                </a:rPr>
                <a:t>𝐴𝐺𝑅〗_((𝑇) )  ∗ 𝑁_𝐴𝐺(𝑇)   ∗(1 − 〖𝐹𝑟𝑎𝑐〗_𝑟𝑒𝑚𝑜𝑣𝑒(𝑇) )</a:t>
              </a:r>
              <a:r>
                <a:rPr lang="en-GB" sz="1100" b="0" i="0">
                  <a:solidFill>
                    <a:schemeClr val="tx1"/>
                  </a:solidFill>
                  <a:effectLst/>
                  <a:latin typeface="Cambria Math" panose="02040503050406030204" pitchFamily="18" charset="0"/>
                  <a:ea typeface="+mn-ea"/>
                  <a:cs typeface="+mn-cs"/>
                </a:rPr>
                <a:t>]</a:t>
              </a:r>
              <a:r>
                <a:rPr lang="en-GB" sz="1100" b="0" i="0">
                  <a:latin typeface="Cambria Math" panose="02040503050406030204" pitchFamily="18" charset="0"/>
                </a:rPr>
                <a:t>+ [〖𝐵𝐺𝑅〗_((𝑇))  ∗ </a:t>
              </a:r>
              <a:r>
                <a:rPr lang="en-GB" sz="1100" b="0" i="0">
                  <a:solidFill>
                    <a:schemeClr val="tx1"/>
                  </a:solidFill>
                  <a:effectLst/>
                  <a:latin typeface="+mn-lt"/>
                  <a:ea typeface="+mn-ea"/>
                  <a:cs typeface="+mn-cs"/>
                </a:rPr>
                <a:t>𝑁_(𝐵𝐺(𝑇))</a:t>
              </a:r>
              <a:r>
                <a:rPr lang="en-GB" sz="1100" b="0" i="0">
                  <a:solidFill>
                    <a:schemeClr val="tx1"/>
                  </a:solidFill>
                  <a:effectLst/>
                  <a:latin typeface="Cambria Math" panose="02040503050406030204" pitchFamily="18" charset="0"/>
                  <a:ea typeface="+mn-ea"/>
                  <a:cs typeface="+mn-cs"/>
                </a:rPr>
                <a:t> </a:t>
              </a:r>
              <a:r>
                <a:rPr lang="en-GB" sz="1100" b="0" i="0">
                  <a:latin typeface="Cambria Math" panose="02040503050406030204" pitchFamily="18" charset="0"/>
                </a:rPr>
                <a:t> ]} </a:t>
              </a:r>
              <a:endParaRPr lang="en-GB" sz="1100"/>
            </a:p>
          </xdr:txBody>
        </xdr:sp>
      </mc:Fallback>
    </mc:AlternateContent>
    <xdr:clientData/>
  </xdr:oneCellAnchor>
  <xdr:oneCellAnchor>
    <xdr:from>
      <xdr:col>2</xdr:col>
      <xdr:colOff>1046596</xdr:colOff>
      <xdr:row>6</xdr:row>
      <xdr:rowOff>830118</xdr:rowOff>
    </xdr:from>
    <xdr:ext cx="4090351" cy="197683"/>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3500005" y="1753754"/>
              <a:ext cx="4090351" cy="197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14:m>
                <m:oMath xmlns:m="http://schemas.openxmlformats.org/officeDocument/2006/math">
                  <m:sSub>
                    <m:sSubPr>
                      <m:ctrlPr>
                        <a:rPr lang="en-GB" sz="1100" i="1">
                          <a:latin typeface="Cambria Math" panose="02040503050406030204" pitchFamily="18" charset="0"/>
                        </a:rPr>
                      </m:ctrlPr>
                    </m:sSubPr>
                    <m:e>
                      <m:r>
                        <a:rPr lang="en-GB" sz="1100" b="0" i="1">
                          <a:latin typeface="Cambria Math" panose="02040503050406030204" pitchFamily="18" charset="0"/>
                        </a:rPr>
                        <m:t>𝐵𝐺𝑅</m:t>
                      </m:r>
                    </m:e>
                    <m:sub>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0">
                      <a:latin typeface="Cambria Math" panose="02040503050406030204" pitchFamily="18" charset="0"/>
                    </a:rPr>
                    <m:t>= </m:t>
                  </m:r>
                  <m:d>
                    <m:dPr>
                      <m:ctrlPr>
                        <a:rPr lang="en-GB" sz="1100" b="0" i="1">
                          <a:latin typeface="Cambria Math" panose="02040503050406030204" pitchFamily="18" charset="0"/>
                        </a:rPr>
                      </m:ctrlPr>
                    </m:dPr>
                    <m:e>
                      <m:sSub>
                        <m:sSubPr>
                          <m:ctrlPr>
                            <a:rPr lang="en-GB" sz="1100" b="0" i="1">
                              <a:latin typeface="Cambria Math" panose="02040503050406030204" pitchFamily="18" charset="0"/>
                            </a:rPr>
                          </m:ctrlPr>
                        </m:sSubPr>
                        <m:e>
                          <m:r>
                            <a:rPr lang="en-GB" sz="1100" b="0" i="1">
                              <a:latin typeface="Cambria Math" panose="02040503050406030204" pitchFamily="18" charset="0"/>
                            </a:rPr>
                            <m:t>𝐶𝑟𝑜𝑝</m:t>
                          </m:r>
                        </m:e>
                        <m:sub>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1">
                          <a:latin typeface="Cambria Math" panose="02040503050406030204" pitchFamily="18" charset="0"/>
                        </a:rPr>
                        <m:t>+ </m:t>
                      </m:r>
                      <m:sSub>
                        <m:sSubPr>
                          <m:ctrlPr>
                            <a:rPr lang="en-GB" sz="1100" b="0" i="1">
                              <a:latin typeface="Cambria Math" panose="02040503050406030204" pitchFamily="18" charset="0"/>
                            </a:rPr>
                          </m:ctrlPr>
                        </m:sSubPr>
                        <m:e>
                          <m:r>
                            <a:rPr lang="en-GB" sz="1100" b="0" i="1">
                              <a:latin typeface="Cambria Math" panose="02040503050406030204" pitchFamily="18" charset="0"/>
                            </a:rPr>
                            <m:t>𝐴𝐺</m:t>
                          </m:r>
                        </m:e>
                        <m:sub>
                          <m:r>
                            <a:rPr lang="en-GB" sz="1100" b="0" i="1">
                              <a:latin typeface="Cambria Math" panose="02040503050406030204" pitchFamily="18" charset="0"/>
                            </a:rPr>
                            <m:t>𝐷𝑀</m:t>
                          </m:r>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e>
                  </m:d>
                  <m:r>
                    <a:rPr lang="en-GB" sz="1100" b="0" i="1">
                      <a:latin typeface="Cambria Math" panose="02040503050406030204" pitchFamily="18" charset="0"/>
                    </a:rPr>
                    <m:t> ∗ </m:t>
                  </m:r>
                  <m:sSub>
                    <m:sSubPr>
                      <m:ctrlPr>
                        <a:rPr lang="en-GB" sz="1100" b="0" i="1">
                          <a:latin typeface="Cambria Math" panose="02040503050406030204" pitchFamily="18" charset="0"/>
                        </a:rPr>
                      </m:ctrlPr>
                    </m:sSubPr>
                    <m:e>
                      <m:r>
                        <a:rPr lang="en-GB" sz="1100" b="0" i="1">
                          <a:latin typeface="Cambria Math" panose="02040503050406030204" pitchFamily="18" charset="0"/>
                        </a:rPr>
                        <m:t>𝑅𝑆</m:t>
                      </m:r>
                    </m:e>
                    <m:sub>
                      <m:d>
                        <m:dPr>
                          <m:ctrlPr>
                            <a:rPr lang="en-GB" sz="1100" b="0" i="1">
                              <a:latin typeface="Cambria Math" panose="02040503050406030204" pitchFamily="18" charset="0"/>
                            </a:rPr>
                          </m:ctrlPr>
                        </m:dPr>
                        <m:e>
                          <m:r>
                            <a:rPr lang="en-GB" sz="1100" b="0" i="1">
                              <a:latin typeface="Cambria Math" panose="02040503050406030204" pitchFamily="18" charset="0"/>
                            </a:rPr>
                            <m:t>𝑇</m:t>
                          </m:r>
                        </m:e>
                      </m:d>
                    </m:sub>
                  </m:sSub>
                  <m:r>
                    <a:rPr lang="en-GB" sz="1100" b="0" i="1">
                      <a:latin typeface="Cambria Math" panose="02040503050406030204" pitchFamily="18" charset="0"/>
                    </a:rPr>
                    <m:t> ∗ </m:t>
                  </m:r>
                  <m:sSub>
                    <m:sSubPr>
                      <m:ctrlPr>
                        <a:rPr lang="en-GB" sz="1100" b="0" i="1">
                          <a:latin typeface="Cambria Math" panose="02040503050406030204" pitchFamily="18" charset="0"/>
                        </a:rPr>
                      </m:ctrlPr>
                    </m:sSubPr>
                    <m:e>
                      <m:r>
                        <a:rPr lang="en-GB" sz="1100" b="0" i="1">
                          <a:latin typeface="Cambria Math" panose="02040503050406030204" pitchFamily="18" charset="0"/>
                        </a:rPr>
                        <m:t>𝐴𝑟𝑒𝑎</m:t>
                      </m:r>
                    </m:e>
                    <m:sub>
                      <m:d>
                        <m:dPr>
                          <m:ctrlPr>
                            <a:rPr lang="en-GB" sz="1100" b="0" i="1">
                              <a:latin typeface="Cambria Math" panose="02040503050406030204" pitchFamily="18" charset="0"/>
                            </a:rPr>
                          </m:ctrlPr>
                        </m:dPr>
                        <m:e>
                          <m:r>
                            <a:rPr lang="en-GB" sz="1100" b="0" i="1">
                              <a:latin typeface="Cambria Math" panose="02040503050406030204" pitchFamily="18" charset="0"/>
                            </a:rPr>
                            <m:t>𝑇</m:t>
                          </m:r>
                        </m:e>
                      </m:d>
                    </m:sub>
                  </m:sSub>
                  <m:r>
                    <a:rPr lang="en-GB" sz="1100" b="0" i="1">
                      <a:latin typeface="Cambria Math" panose="02040503050406030204" pitchFamily="18" charset="0"/>
                    </a:rPr>
                    <m:t> ∗ </m:t>
                  </m:r>
                  <m:sSub>
                    <m:sSubPr>
                      <m:ctrlPr>
                        <a:rPr lang="en-GB" sz="1100" b="0" i="1">
                          <a:latin typeface="Cambria Math" panose="02040503050406030204" pitchFamily="18" charset="0"/>
                        </a:rPr>
                      </m:ctrlPr>
                    </m:sSubPr>
                    <m:e>
                      <m:r>
                        <a:rPr lang="en-GB" sz="1100" b="0" i="1">
                          <a:latin typeface="Cambria Math" panose="02040503050406030204" pitchFamily="18" charset="0"/>
                        </a:rPr>
                        <m:t>𝐹𝑟𝑎𝑐</m:t>
                      </m:r>
                    </m:e>
                    <m:sub>
                      <m:r>
                        <a:rPr lang="en-GB" sz="1100" b="0" i="1">
                          <a:latin typeface="Cambria Math" panose="02040503050406030204" pitchFamily="18" charset="0"/>
                        </a:rPr>
                        <m:t>𝑟𝑒𝑛𝑒𝑤</m:t>
                      </m:r>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oMath>
              </a14:m>
              <a:r>
                <a:rPr lang="en-GB" sz="1100"/>
                <a:t> </a:t>
              </a:r>
            </a:p>
          </xdr:txBody>
        </xdr:sp>
      </mc:Choice>
      <mc:Fallback xmlns="">
        <xdr:sp macro="" textlink="">
          <xdr:nvSpPr>
            <xdr:cNvPr id="4" name="TextBox 3"/>
            <xdr:cNvSpPr txBox="1"/>
          </xdr:nvSpPr>
          <xdr:spPr>
            <a:xfrm>
              <a:off x="3500005" y="1753754"/>
              <a:ext cx="4090351" cy="197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GB" sz="1100" i="0">
                  <a:latin typeface="Cambria Math" panose="02040503050406030204" pitchFamily="18" charset="0"/>
                </a:rPr>
                <a:t>〖</a:t>
              </a:r>
              <a:r>
                <a:rPr lang="en-GB" sz="1100" b="0" i="0">
                  <a:latin typeface="Cambria Math" panose="02040503050406030204" pitchFamily="18" charset="0"/>
                </a:rPr>
                <a:t>𝐵𝐺𝑅〗_((𝑇))= (〖𝐶𝑟𝑜𝑝〗_((𝑇))+ 〖𝐴𝐺〗_(𝐷𝑀(𝑇)) )  ∗ 〖𝑅𝑆〗_((𝑇) )  ∗ 〖𝐴𝑟𝑒𝑎〗_((𝑇) )  ∗ 〖𝐹𝑟𝑎𝑐〗_(𝑟𝑒𝑛𝑒𝑤(𝑇))</a:t>
              </a:r>
              <a:r>
                <a:rPr lang="en-GB" sz="1100"/>
                <a:t> </a:t>
              </a:r>
            </a:p>
          </xdr:txBody>
        </xdr:sp>
      </mc:Fallback>
    </mc:AlternateContent>
    <xdr:clientData/>
  </xdr:oneCellAnchor>
  <xdr:oneCellAnchor>
    <xdr:from>
      <xdr:col>4</xdr:col>
      <xdr:colOff>1150581</xdr:colOff>
      <xdr:row>6</xdr:row>
      <xdr:rowOff>863729</xdr:rowOff>
    </xdr:from>
    <xdr:ext cx="1774525" cy="185885"/>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5C1B3822-D88A-4771-9857-2EA75C4CE873}"/>
                </a:ext>
              </a:extLst>
            </xdr:cNvPr>
            <xdr:cNvSpPr txBox="1"/>
          </xdr:nvSpPr>
          <xdr:spPr>
            <a:xfrm>
              <a:off x="7954152" y="1816229"/>
              <a:ext cx="1774525" cy="18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b="0" i="1">
                            <a:latin typeface="Cambria Math" panose="02040503050406030204" pitchFamily="18" charset="0"/>
                          </a:rPr>
                          <m:t>𝐴𝐺</m:t>
                        </m:r>
                      </m:e>
                      <m:sub>
                        <m:r>
                          <a:rPr lang="en-GB" sz="1100" b="0" i="1">
                            <a:latin typeface="Cambria Math" panose="02040503050406030204" pitchFamily="18" charset="0"/>
                          </a:rPr>
                          <m:t>𝐷𝑀</m:t>
                        </m:r>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1">
                        <a:latin typeface="Cambria Math" panose="02040503050406030204" pitchFamily="18" charset="0"/>
                      </a:rPr>
                      <m:t>= </m:t>
                    </m:r>
                    <m:sSub>
                      <m:sSubPr>
                        <m:ctrlPr>
                          <a:rPr lang="en-GB" sz="1100" b="0" i="1">
                            <a:latin typeface="Cambria Math" panose="02040503050406030204" pitchFamily="18" charset="0"/>
                          </a:rPr>
                        </m:ctrlPr>
                      </m:sSubPr>
                      <m:e>
                        <m:r>
                          <a:rPr lang="en-GB" sz="1100" b="0" i="1">
                            <a:latin typeface="Cambria Math" panose="02040503050406030204" pitchFamily="18" charset="0"/>
                          </a:rPr>
                          <m:t>𝐶𝑟𝑜𝑝</m:t>
                        </m:r>
                      </m:e>
                      <m:sub>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0">
                        <a:latin typeface="Cambria Math" panose="02040503050406030204" pitchFamily="18" charset="0"/>
                      </a:rPr>
                      <m:t> ∗ </m:t>
                    </m:r>
                    <m:sSub>
                      <m:sSubPr>
                        <m:ctrlPr>
                          <a:rPr lang="en-GB" sz="1100" b="0" i="1">
                            <a:latin typeface="Cambria Math" panose="02040503050406030204" pitchFamily="18" charset="0"/>
                          </a:rPr>
                        </m:ctrlPr>
                      </m:sSubPr>
                      <m:e>
                        <m:r>
                          <a:rPr lang="en-GB" sz="1100" b="0" i="1">
                            <a:latin typeface="Cambria Math" panose="02040503050406030204" pitchFamily="18" charset="0"/>
                          </a:rPr>
                          <m:t>𝑅</m:t>
                        </m:r>
                      </m:e>
                      <m:sub>
                        <m:r>
                          <a:rPr lang="en-GB" sz="1100" b="0" i="1">
                            <a:latin typeface="Cambria Math" panose="02040503050406030204" pitchFamily="18" charset="0"/>
                          </a:rPr>
                          <m:t>𝐴𝐺</m:t>
                        </m:r>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oMath>
                </m:oMathPara>
              </a14:m>
              <a:endParaRPr lang="en-GB" sz="1100"/>
            </a:p>
          </xdr:txBody>
        </xdr:sp>
      </mc:Choice>
      <mc:Fallback xmlns="">
        <xdr:sp macro="" textlink="">
          <xdr:nvSpPr>
            <xdr:cNvPr id="14" name="TextBox 13">
              <a:extLst>
                <a:ext uri="{FF2B5EF4-FFF2-40B4-BE49-F238E27FC236}">
                  <a16:creationId xmlns:a16="http://schemas.microsoft.com/office/drawing/2014/main" id="{5C1B3822-D88A-4771-9857-2EA75C4CE873}"/>
                </a:ext>
              </a:extLst>
            </xdr:cNvPr>
            <xdr:cNvSpPr txBox="1"/>
          </xdr:nvSpPr>
          <xdr:spPr>
            <a:xfrm>
              <a:off x="7954152" y="1816229"/>
              <a:ext cx="1774525" cy="18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rPr>
                <a:t>〖</a:t>
              </a:r>
              <a:r>
                <a:rPr lang="en-GB" sz="1100" b="0" i="0">
                  <a:latin typeface="Cambria Math" panose="02040503050406030204" pitchFamily="18" charset="0"/>
                </a:rPr>
                <a:t>𝐴𝐺〗_(𝐷𝑀(𝑇))= 〖𝐶𝑟𝑜𝑝〗_((𝑇))  ∗ 𝑅_(𝐴𝐺(𝑇))</a:t>
              </a:r>
              <a:endParaRPr lang="en-GB" sz="1100"/>
            </a:p>
          </xdr:txBody>
        </xdr:sp>
      </mc:Fallback>
    </mc:AlternateContent>
    <xdr:clientData/>
  </xdr:oneCellAnchor>
  <xdr:oneCellAnchor>
    <xdr:from>
      <xdr:col>4</xdr:col>
      <xdr:colOff>1143000</xdr:colOff>
      <xdr:row>6</xdr:row>
      <xdr:rowOff>1280583</xdr:rowOff>
    </xdr:from>
    <xdr:ext cx="2013949" cy="185885"/>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5DEDB881-6401-4B2C-BFA4-170675E6F4BC}"/>
                </a:ext>
              </a:extLst>
            </xdr:cNvPr>
            <xdr:cNvSpPr txBox="1"/>
          </xdr:nvSpPr>
          <xdr:spPr>
            <a:xfrm>
              <a:off x="7937500" y="2233083"/>
              <a:ext cx="2013949" cy="18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GB" sz="1100" i="1">
                            <a:latin typeface="Cambria Math" panose="02040503050406030204" pitchFamily="18" charset="0"/>
                          </a:rPr>
                        </m:ctrlPr>
                      </m:sSubPr>
                      <m:e>
                        <m:r>
                          <a:rPr lang="en-GB" sz="1100" b="0" i="1">
                            <a:latin typeface="Cambria Math" panose="02040503050406030204" pitchFamily="18" charset="0"/>
                          </a:rPr>
                          <m:t>𝐶𝑟𝑜𝑝</m:t>
                        </m:r>
                      </m:e>
                      <m:sub>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1">
                        <a:latin typeface="Cambria Math" panose="02040503050406030204" pitchFamily="18" charset="0"/>
                      </a:rPr>
                      <m:t>= </m:t>
                    </m:r>
                    <m:sSub>
                      <m:sSubPr>
                        <m:ctrlPr>
                          <a:rPr lang="en-GB" sz="1100" b="0" i="1">
                            <a:latin typeface="Cambria Math" panose="02040503050406030204" pitchFamily="18" charset="0"/>
                          </a:rPr>
                        </m:ctrlPr>
                      </m:sSubPr>
                      <m:e>
                        <m:r>
                          <a:rPr lang="en-GB" sz="1100" b="0" i="1">
                            <a:latin typeface="Cambria Math" panose="02040503050406030204" pitchFamily="18" charset="0"/>
                          </a:rPr>
                          <m:t>𝑌𝑖𝑒𝑙𝑑</m:t>
                        </m:r>
                        <m:r>
                          <a:rPr lang="en-GB" sz="1100" b="0" i="1">
                            <a:latin typeface="Cambria Math" panose="02040503050406030204" pitchFamily="18" charset="0"/>
                          </a:rPr>
                          <m:t> </m:t>
                        </m:r>
                        <m:r>
                          <a:rPr lang="en-GB" sz="1100" b="0" i="1">
                            <a:latin typeface="Cambria Math" panose="02040503050406030204" pitchFamily="18" charset="0"/>
                          </a:rPr>
                          <m:t>𝐹𝑟𝑒𝑠h</m:t>
                        </m:r>
                      </m:e>
                      <m:sub>
                        <m:r>
                          <a:rPr lang="en-GB" sz="1100" b="0" i="1">
                            <a:latin typeface="Cambria Math" panose="02040503050406030204" pitchFamily="18" charset="0"/>
                          </a:rPr>
                          <m:t>(</m:t>
                        </m:r>
                        <m:r>
                          <a:rPr lang="en-GB" sz="1100" b="0" i="1">
                            <a:latin typeface="Cambria Math" panose="02040503050406030204" pitchFamily="18" charset="0"/>
                          </a:rPr>
                          <m:t>𝑇</m:t>
                        </m:r>
                        <m:r>
                          <a:rPr lang="en-GB" sz="1100" b="0" i="1">
                            <a:latin typeface="Cambria Math" panose="02040503050406030204" pitchFamily="18" charset="0"/>
                          </a:rPr>
                          <m:t>)</m:t>
                        </m:r>
                      </m:sub>
                    </m:sSub>
                    <m:r>
                      <a:rPr lang="en-GB" sz="1100" b="0" i="0">
                        <a:latin typeface="Cambria Math" panose="02040503050406030204" pitchFamily="18" charset="0"/>
                      </a:rPr>
                      <m:t> ∗</m:t>
                    </m:r>
                    <m:r>
                      <m:rPr>
                        <m:sty m:val="p"/>
                      </m:rPr>
                      <a:rPr lang="en-GB" sz="1100" b="0" i="0">
                        <a:latin typeface="Cambria Math" panose="02040503050406030204" pitchFamily="18" charset="0"/>
                      </a:rPr>
                      <m:t>DRY</m:t>
                    </m:r>
                  </m:oMath>
                </m:oMathPara>
              </a14:m>
              <a:endParaRPr lang="en-GB" sz="1100"/>
            </a:p>
          </xdr:txBody>
        </xdr:sp>
      </mc:Choice>
      <mc:Fallback xmlns="">
        <xdr:sp macro="" textlink="">
          <xdr:nvSpPr>
            <xdr:cNvPr id="16" name="TextBox 15">
              <a:extLst>
                <a:ext uri="{FF2B5EF4-FFF2-40B4-BE49-F238E27FC236}">
                  <a16:creationId xmlns:a16="http://schemas.microsoft.com/office/drawing/2014/main" id="{5DEDB881-6401-4B2C-BFA4-170675E6F4BC}"/>
                </a:ext>
              </a:extLst>
            </xdr:cNvPr>
            <xdr:cNvSpPr txBox="1"/>
          </xdr:nvSpPr>
          <xdr:spPr>
            <a:xfrm>
              <a:off x="7937500" y="2233083"/>
              <a:ext cx="2013949" cy="185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GB" sz="1100" i="0">
                  <a:latin typeface="Cambria Math" panose="02040503050406030204" pitchFamily="18" charset="0"/>
                </a:rPr>
                <a:t>〖</a:t>
              </a:r>
              <a:r>
                <a:rPr lang="en-GB" sz="1100" b="0" i="0">
                  <a:latin typeface="Cambria Math" panose="02040503050406030204" pitchFamily="18" charset="0"/>
                </a:rPr>
                <a:t>𝐶𝑟𝑜𝑝〗_((𝑇))= 〖𝑌𝑖𝑒𝑙𝑑 𝐹𝑟𝑒𝑠ℎ〗_((𝑇))  ∗DRY</a:t>
              </a:r>
              <a:endParaRPr lang="en-GB" sz="1100"/>
            </a:p>
          </xdr:txBody>
        </xdr:sp>
      </mc:Fallback>
    </mc:AlternateContent>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0BC77-31AE-4F7B-B800-2205C6B50E46}">
  <dimension ref="A1:A7"/>
  <sheetViews>
    <sheetView tabSelected="1" workbookViewId="0">
      <selection activeCell="A8" sqref="A8"/>
    </sheetView>
  </sheetViews>
  <sheetFormatPr defaultRowHeight="14.5" x14ac:dyDescent="0.35"/>
  <sheetData>
    <row r="1" spans="1:1" x14ac:dyDescent="0.35">
      <c r="A1" s="18" t="s">
        <v>819</v>
      </c>
    </row>
    <row r="3" spans="1:1" x14ac:dyDescent="0.35">
      <c r="A3" s="18" t="s">
        <v>650</v>
      </c>
    </row>
    <row r="4" spans="1:1" x14ac:dyDescent="0.35">
      <c r="A4" s="9" t="s">
        <v>654</v>
      </c>
    </row>
    <row r="5" spans="1:1" x14ac:dyDescent="0.35">
      <c r="A5" s="9" t="s">
        <v>651</v>
      </c>
    </row>
    <row r="7" spans="1:1" x14ac:dyDescent="0.35">
      <c r="A7" s="9" t="s">
        <v>820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dimension ref="A1:E37"/>
  <sheetViews>
    <sheetView topLeftCell="A19" workbookViewId="0">
      <selection activeCell="D38" sqref="D38"/>
    </sheetView>
  </sheetViews>
  <sheetFormatPr defaultRowHeight="14.5" x14ac:dyDescent="0.35"/>
  <cols>
    <col min="1" max="1" width="23" customWidth="1"/>
    <col min="2" max="2" width="35.453125" customWidth="1"/>
    <col min="3" max="3" width="39.54296875" customWidth="1"/>
    <col min="4" max="4" width="40.54296875" customWidth="1"/>
  </cols>
  <sheetData>
    <row r="1" spans="1:4" x14ac:dyDescent="0.35">
      <c r="A1" s="1"/>
    </row>
    <row r="6" spans="1:4" ht="11.5" customHeight="1" x14ac:dyDescent="0.35">
      <c r="A6" s="267" t="s">
        <v>233</v>
      </c>
      <c r="B6" s="552" t="s">
        <v>234</v>
      </c>
      <c r="C6" s="552"/>
      <c r="D6" s="552"/>
    </row>
    <row r="7" spans="1:4" ht="11.5" customHeight="1" x14ac:dyDescent="0.35">
      <c r="A7" s="267" t="s">
        <v>235</v>
      </c>
      <c r="B7" s="552" t="s">
        <v>354</v>
      </c>
      <c r="C7" s="552"/>
      <c r="D7" s="552"/>
    </row>
    <row r="8" spans="1:4" ht="11.5" customHeight="1" x14ac:dyDescent="0.35">
      <c r="A8" s="267" t="s">
        <v>237</v>
      </c>
      <c r="B8" s="552" t="s">
        <v>355</v>
      </c>
      <c r="C8" s="552"/>
      <c r="D8" s="552"/>
    </row>
    <row r="9" spans="1:4" ht="11.5" customHeight="1" x14ac:dyDescent="0.35">
      <c r="A9" s="267" t="s">
        <v>239</v>
      </c>
      <c r="B9" s="552" t="s">
        <v>240</v>
      </c>
      <c r="C9" s="552"/>
      <c r="D9" s="552"/>
    </row>
    <row r="10" spans="1:4" x14ac:dyDescent="0.35">
      <c r="A10" s="267" t="s">
        <v>241</v>
      </c>
      <c r="B10" s="581" t="s">
        <v>356</v>
      </c>
      <c r="C10" s="581"/>
      <c r="D10" s="581"/>
    </row>
    <row r="11" spans="1:4" x14ac:dyDescent="0.35">
      <c r="A11" s="8"/>
      <c r="B11" s="582"/>
      <c r="C11" s="583"/>
      <c r="D11" s="584"/>
    </row>
    <row r="12" spans="1:4" ht="23.5" thickBot="1" x14ac:dyDescent="0.4">
      <c r="A12" s="576" t="s">
        <v>357</v>
      </c>
      <c r="B12" s="213" t="s">
        <v>358</v>
      </c>
      <c r="C12" s="271" t="s">
        <v>359</v>
      </c>
      <c r="D12" s="271" t="s">
        <v>372</v>
      </c>
    </row>
    <row r="13" spans="1:4" ht="15.5" thickTop="1" thickBot="1" x14ac:dyDescent="0.4">
      <c r="A13" s="576"/>
      <c r="B13" s="213" t="s">
        <v>373</v>
      </c>
      <c r="C13" s="241" t="s">
        <v>362</v>
      </c>
      <c r="D13" s="213" t="s">
        <v>363</v>
      </c>
    </row>
    <row r="14" spans="1:4" ht="15.5" thickTop="1" thickBot="1" x14ac:dyDescent="0.4">
      <c r="A14" s="576"/>
      <c r="B14" s="270"/>
      <c r="C14" s="271" t="s">
        <v>364</v>
      </c>
      <c r="D14" s="271" t="s">
        <v>365</v>
      </c>
    </row>
    <row r="15" spans="1:4" ht="15.5" thickTop="1" thickBot="1" x14ac:dyDescent="0.4">
      <c r="A15" s="576"/>
      <c r="B15" s="272" t="s">
        <v>366</v>
      </c>
      <c r="C15" s="272" t="s">
        <v>367</v>
      </c>
      <c r="D15" s="272" t="s">
        <v>368</v>
      </c>
    </row>
    <row r="16" spans="1:4" ht="15.65" customHeight="1" thickTop="1" x14ac:dyDescent="0.35">
      <c r="A16" s="299" t="s">
        <v>54</v>
      </c>
      <c r="B16" s="10">
        <f>D28/1000</f>
        <v>0.55882352941176472</v>
      </c>
      <c r="C16" s="10">
        <v>0.2</v>
      </c>
      <c r="D16" s="19">
        <f t="shared" ref="D16:D24" si="0">B16*C16</f>
        <v>0.11176470588235295</v>
      </c>
    </row>
    <row r="17" spans="1:4" ht="15.25" customHeight="1" x14ac:dyDescent="0.35">
      <c r="A17" s="300" t="s">
        <v>55</v>
      </c>
      <c r="B17" s="129">
        <f>D29/1000</f>
        <v>0.38235294117647062</v>
      </c>
      <c r="C17" s="129">
        <v>0.2</v>
      </c>
      <c r="D17" s="133">
        <f t="shared" si="0"/>
        <v>7.6470588235294124E-2</v>
      </c>
    </row>
    <row r="18" spans="1:4" ht="15.25" customHeight="1" x14ac:dyDescent="0.35">
      <c r="A18" s="300" t="s">
        <v>12</v>
      </c>
      <c r="B18" s="129">
        <f>D30/1000</f>
        <v>0.55882352941176472</v>
      </c>
      <c r="C18" s="129">
        <v>0.2</v>
      </c>
      <c r="D18" s="133">
        <f t="shared" si="0"/>
        <v>0.11176470588235295</v>
      </c>
    </row>
    <row r="19" spans="1:4" ht="15.25" customHeight="1" x14ac:dyDescent="0.35">
      <c r="A19" s="300" t="s">
        <v>56</v>
      </c>
      <c r="B19" s="129">
        <f>D31/1000</f>
        <v>0.45882352941176469</v>
      </c>
      <c r="C19" s="129">
        <v>0.2</v>
      </c>
      <c r="D19" s="133">
        <f t="shared" si="0"/>
        <v>9.1764705882352943E-2</v>
      </c>
    </row>
    <row r="20" spans="1:4" ht="15.25" customHeight="1" x14ac:dyDescent="0.35">
      <c r="A20" s="300" t="s">
        <v>57</v>
      </c>
      <c r="B20" s="129">
        <f>D32/1000</f>
        <v>0.44117647058823528</v>
      </c>
      <c r="C20" s="129">
        <v>0.2</v>
      </c>
      <c r="D20" s="133">
        <f t="shared" si="0"/>
        <v>8.8235294117647065E-2</v>
      </c>
    </row>
    <row r="21" spans="1:4" x14ac:dyDescent="0.35">
      <c r="A21" s="300" t="s">
        <v>26</v>
      </c>
      <c r="B21" s="129">
        <f t="shared" ref="B21:B24" si="1">D33/1000</f>
        <v>0.26470588235294118</v>
      </c>
      <c r="C21" s="129">
        <v>0.2</v>
      </c>
      <c r="D21" s="133">
        <f t="shared" si="0"/>
        <v>5.2941176470588241E-2</v>
      </c>
    </row>
    <row r="22" spans="1:4" x14ac:dyDescent="0.35">
      <c r="A22" s="300" t="s">
        <v>28</v>
      </c>
      <c r="B22" s="129">
        <f t="shared" si="1"/>
        <v>0.24705882352941178</v>
      </c>
      <c r="C22" s="129">
        <v>0.2</v>
      </c>
      <c r="D22" s="133">
        <f t="shared" si="0"/>
        <v>4.9411764705882356E-2</v>
      </c>
    </row>
    <row r="23" spans="1:4" x14ac:dyDescent="0.35">
      <c r="A23" s="300" t="s">
        <v>29</v>
      </c>
      <c r="B23" s="129">
        <f t="shared" si="1"/>
        <v>0.29411764705882354</v>
      </c>
      <c r="C23" s="129">
        <v>0.2</v>
      </c>
      <c r="D23" s="133">
        <f t="shared" si="0"/>
        <v>5.8823529411764712E-2</v>
      </c>
    </row>
    <row r="24" spans="1:4" x14ac:dyDescent="0.35">
      <c r="A24" s="301" t="s">
        <v>30</v>
      </c>
      <c r="B24" s="130">
        <f t="shared" si="1"/>
        <v>0.35294117647058826</v>
      </c>
      <c r="C24" s="130">
        <v>0.2</v>
      </c>
      <c r="D24" s="134">
        <f t="shared" si="0"/>
        <v>7.058823529411766E-2</v>
      </c>
    </row>
    <row r="26" spans="1:4" x14ac:dyDescent="0.35">
      <c r="D26" s="9"/>
    </row>
    <row r="27" spans="1:4" ht="16.5" x14ac:dyDescent="0.35">
      <c r="B27" s="125" t="s">
        <v>369</v>
      </c>
      <c r="C27" s="125" t="s">
        <v>370</v>
      </c>
      <c r="D27" s="125" t="s">
        <v>371</v>
      </c>
    </row>
    <row r="28" spans="1:4" x14ac:dyDescent="0.35">
      <c r="B28" s="126" t="s">
        <v>54</v>
      </c>
      <c r="C28" s="127">
        <v>190</v>
      </c>
      <c r="D28" s="127">
        <f>C28*100/34</f>
        <v>558.82352941176475</v>
      </c>
    </row>
    <row r="29" spans="1:4" x14ac:dyDescent="0.35">
      <c r="B29" s="126" t="s">
        <v>55</v>
      </c>
      <c r="C29" s="127">
        <v>130</v>
      </c>
      <c r="D29" s="127">
        <f t="shared" ref="D29:D36" si="2">C29*100/34</f>
        <v>382.35294117647061</v>
      </c>
    </row>
    <row r="30" spans="1:4" x14ac:dyDescent="0.35">
      <c r="B30" s="126" t="s">
        <v>12</v>
      </c>
      <c r="C30" s="127">
        <v>190</v>
      </c>
      <c r="D30" s="127">
        <f t="shared" si="2"/>
        <v>558.82352941176475</v>
      </c>
    </row>
    <row r="31" spans="1:4" x14ac:dyDescent="0.35">
      <c r="B31" s="126" t="s">
        <v>56</v>
      </c>
      <c r="C31" s="127">
        <v>156</v>
      </c>
      <c r="D31" s="127">
        <f t="shared" si="2"/>
        <v>458.8235294117647</v>
      </c>
    </row>
    <row r="32" spans="1:4" x14ac:dyDescent="0.35">
      <c r="B32" s="126" t="s">
        <v>57</v>
      </c>
      <c r="C32" s="127">
        <v>150</v>
      </c>
      <c r="D32" s="127">
        <f t="shared" si="2"/>
        <v>441.1764705882353</v>
      </c>
    </row>
    <row r="33" spans="2:5" x14ac:dyDescent="0.35">
      <c r="B33" s="126" t="s">
        <v>26</v>
      </c>
      <c r="C33" s="127">
        <v>90</v>
      </c>
      <c r="D33" s="127">
        <f t="shared" si="2"/>
        <v>264.70588235294116</v>
      </c>
      <c r="E33" s="9"/>
    </row>
    <row r="34" spans="2:5" x14ac:dyDescent="0.35">
      <c r="B34" s="126" t="s">
        <v>28</v>
      </c>
      <c r="C34" s="127">
        <v>84</v>
      </c>
      <c r="D34" s="127">
        <f t="shared" si="2"/>
        <v>247.05882352941177</v>
      </c>
    </row>
    <row r="35" spans="2:5" x14ac:dyDescent="0.35">
      <c r="B35" s="126" t="s">
        <v>29</v>
      </c>
      <c r="C35" s="127">
        <v>100</v>
      </c>
      <c r="D35" s="127">
        <f t="shared" si="2"/>
        <v>294.11764705882354</v>
      </c>
    </row>
    <row r="36" spans="2:5" x14ac:dyDescent="0.35">
      <c r="B36" s="126" t="s">
        <v>30</v>
      </c>
      <c r="C36" s="127">
        <v>120</v>
      </c>
      <c r="D36" s="127">
        <f t="shared" si="2"/>
        <v>352.94117647058823</v>
      </c>
    </row>
    <row r="37" spans="2:5" x14ac:dyDescent="0.35">
      <c r="B37" s="302"/>
    </row>
  </sheetData>
  <mergeCells count="7">
    <mergeCell ref="A12:A15"/>
    <mergeCell ref="B6:D6"/>
    <mergeCell ref="B7:D7"/>
    <mergeCell ref="B8:D8"/>
    <mergeCell ref="B9:D9"/>
    <mergeCell ref="B10:D10"/>
    <mergeCell ref="B11:D11"/>
  </mergeCells>
  <pageMargins left="1.25" right="1.25" top="1" bottom="1" header="0.25" footer="0.25"/>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S51"/>
  <sheetViews>
    <sheetView topLeftCell="B7" zoomScaleNormal="100" workbookViewId="0">
      <selection activeCell="F25" sqref="F25"/>
    </sheetView>
  </sheetViews>
  <sheetFormatPr defaultRowHeight="14.5" x14ac:dyDescent="0.35"/>
  <cols>
    <col min="1" max="1" width="15.81640625" customWidth="1"/>
    <col min="2" max="2" width="19.1796875" customWidth="1"/>
    <col min="3" max="3" width="48.81640625" customWidth="1"/>
    <col min="4" max="4" width="13.54296875" customWidth="1"/>
    <col min="5" max="5" width="17.453125" customWidth="1"/>
    <col min="6" max="6" width="18.1796875" bestFit="1" customWidth="1"/>
    <col min="7" max="7" width="21.453125" customWidth="1"/>
  </cols>
  <sheetData>
    <row r="1" spans="1:19" x14ac:dyDescent="0.35">
      <c r="A1" s="1"/>
    </row>
    <row r="3" spans="1:19" ht="11.5" customHeight="1" x14ac:dyDescent="0.35">
      <c r="A3" s="539" t="s">
        <v>233</v>
      </c>
      <c r="B3" s="539"/>
      <c r="C3" s="552" t="s">
        <v>234</v>
      </c>
      <c r="D3" s="552"/>
      <c r="E3" s="552"/>
      <c r="F3" s="552"/>
      <c r="G3" s="552"/>
    </row>
    <row r="4" spans="1:19" ht="11.5" customHeight="1" x14ac:dyDescent="0.35">
      <c r="A4" s="539" t="s">
        <v>235</v>
      </c>
      <c r="B4" s="539"/>
      <c r="C4" s="552" t="s">
        <v>374</v>
      </c>
      <c r="D4" s="552"/>
      <c r="E4" s="552"/>
      <c r="F4" s="552"/>
      <c r="G4" s="552"/>
    </row>
    <row r="5" spans="1:19" ht="11.5" customHeight="1" x14ac:dyDescent="0.35">
      <c r="A5" s="539" t="s">
        <v>237</v>
      </c>
      <c r="B5" s="539"/>
      <c r="C5" s="552" t="s">
        <v>375</v>
      </c>
      <c r="D5" s="552"/>
      <c r="E5" s="552"/>
      <c r="F5" s="552"/>
      <c r="G5" s="552"/>
    </row>
    <row r="6" spans="1:19" ht="11.5" customHeight="1" x14ac:dyDescent="0.35">
      <c r="A6" s="539" t="s">
        <v>239</v>
      </c>
      <c r="B6" s="539"/>
      <c r="C6" s="552" t="s">
        <v>376</v>
      </c>
      <c r="D6" s="552"/>
      <c r="E6" s="552"/>
      <c r="F6" s="552"/>
      <c r="G6" s="552"/>
    </row>
    <row r="7" spans="1:19" ht="135.65" customHeight="1" x14ac:dyDescent="0.35">
      <c r="A7" s="539" t="s">
        <v>241</v>
      </c>
      <c r="B7" s="539"/>
      <c r="C7" s="578" t="s">
        <v>377</v>
      </c>
      <c r="D7" s="579"/>
      <c r="E7" s="579"/>
      <c r="F7" s="579"/>
      <c r="G7" s="579"/>
    </row>
    <row r="8" spans="1:19" ht="23.25" customHeight="1" thickBot="1" x14ac:dyDescent="0.4">
      <c r="A8" s="576" t="s">
        <v>378</v>
      </c>
      <c r="B8" s="576"/>
      <c r="C8" s="589" t="s">
        <v>379</v>
      </c>
      <c r="D8" s="589"/>
      <c r="E8" s="590" t="s">
        <v>380</v>
      </c>
      <c r="F8" s="590"/>
      <c r="G8" s="269" t="s">
        <v>381</v>
      </c>
    </row>
    <row r="9" spans="1:19" ht="26.5" customHeight="1" thickTop="1" thickBot="1" x14ac:dyDescent="0.4">
      <c r="A9" s="576"/>
      <c r="B9" s="576"/>
      <c r="C9" s="591" t="s">
        <v>382</v>
      </c>
      <c r="D9" s="591"/>
      <c r="E9" s="592" t="s">
        <v>383</v>
      </c>
      <c r="F9" s="592"/>
      <c r="G9" s="271" t="s">
        <v>384</v>
      </c>
    </row>
    <row r="10" spans="1:19" ht="15.5" thickTop="1" thickBot="1" x14ac:dyDescent="0.4">
      <c r="A10" s="576"/>
      <c r="B10" s="576"/>
      <c r="C10" s="593"/>
      <c r="D10" s="593"/>
      <c r="E10" s="594" t="s">
        <v>385</v>
      </c>
      <c r="F10" s="594"/>
      <c r="G10" s="271" t="s">
        <v>386</v>
      </c>
    </row>
    <row r="11" spans="1:19" ht="15.5" thickTop="1" thickBot="1" x14ac:dyDescent="0.4">
      <c r="A11" s="576"/>
      <c r="B11" s="576"/>
      <c r="C11" s="595" t="s">
        <v>387</v>
      </c>
      <c r="D11" s="595"/>
      <c r="E11" s="545" t="s">
        <v>367</v>
      </c>
      <c r="F11" s="545"/>
      <c r="G11" s="272" t="s">
        <v>388</v>
      </c>
    </row>
    <row r="12" spans="1:19" ht="15.65" customHeight="1" thickTop="1" thickBot="1" x14ac:dyDescent="0.4">
      <c r="A12" s="585" t="s">
        <v>369</v>
      </c>
      <c r="B12" s="6" t="s">
        <v>389</v>
      </c>
      <c r="C12" s="6" t="s">
        <v>390</v>
      </c>
      <c r="D12" s="26"/>
      <c r="E12" s="587" t="s">
        <v>391</v>
      </c>
      <c r="F12" s="238"/>
      <c r="G12" s="17"/>
    </row>
    <row r="13" spans="1:19" ht="15.65" customHeight="1" thickTop="1" x14ac:dyDescent="0.35">
      <c r="A13" s="586"/>
      <c r="B13" s="21" t="s">
        <v>392</v>
      </c>
      <c r="C13" s="21" t="s">
        <v>393</v>
      </c>
      <c r="D13" s="7"/>
      <c r="E13" s="588"/>
      <c r="F13" s="270"/>
      <c r="G13" s="270"/>
    </row>
    <row r="14" spans="1:19" ht="23.5" customHeight="1" thickBot="1" x14ac:dyDescent="0.4">
      <c r="A14" s="22"/>
      <c r="B14" s="445" t="s">
        <v>394</v>
      </c>
      <c r="C14" s="446" t="s">
        <v>395</v>
      </c>
      <c r="D14" s="22"/>
      <c r="E14" s="23"/>
      <c r="F14" s="22"/>
      <c r="G14" s="446"/>
    </row>
    <row r="15" spans="1:19" ht="15" thickTop="1" x14ac:dyDescent="0.35"/>
    <row r="16" spans="1:19" x14ac:dyDescent="0.35">
      <c r="A16" s="12" t="s">
        <v>396</v>
      </c>
      <c r="B16" s="13"/>
      <c r="C16" s="13"/>
      <c r="D16" s="13"/>
      <c r="E16" s="13"/>
      <c r="F16" s="13"/>
      <c r="G16" s="13"/>
      <c r="H16" s="13"/>
      <c r="I16" s="13"/>
      <c r="J16" s="13"/>
      <c r="K16" s="13"/>
      <c r="L16" s="13"/>
      <c r="M16" s="13"/>
      <c r="N16" s="13"/>
      <c r="O16" s="13"/>
      <c r="P16" s="13"/>
      <c r="Q16" s="13"/>
      <c r="R16" s="13"/>
      <c r="S16" s="13"/>
    </row>
    <row r="17" spans="1:19" x14ac:dyDescent="0.35">
      <c r="A17" s="12" t="s">
        <v>397</v>
      </c>
      <c r="B17" s="13"/>
      <c r="C17" s="13"/>
      <c r="D17" s="13"/>
      <c r="E17" s="13"/>
      <c r="F17" s="13"/>
      <c r="G17" s="13"/>
      <c r="H17" s="13"/>
      <c r="I17" s="13"/>
      <c r="J17" s="13"/>
      <c r="K17" s="13"/>
      <c r="L17" s="13"/>
      <c r="M17" s="13"/>
      <c r="N17" s="13"/>
      <c r="O17" s="13"/>
      <c r="P17" s="13"/>
      <c r="Q17" s="13"/>
      <c r="R17" s="13"/>
      <c r="S17" s="13"/>
    </row>
    <row r="18" spans="1:19" x14ac:dyDescent="0.35">
      <c r="A18" s="12" t="s">
        <v>398</v>
      </c>
      <c r="B18" s="13"/>
      <c r="C18" s="13"/>
      <c r="D18" s="13"/>
      <c r="E18" s="13"/>
      <c r="F18" s="13"/>
      <c r="G18" s="13"/>
      <c r="H18" s="13"/>
      <c r="I18" s="13"/>
      <c r="J18" s="13"/>
      <c r="K18" s="13"/>
      <c r="L18" s="13"/>
      <c r="M18" s="13"/>
      <c r="N18" s="13"/>
      <c r="O18" s="13"/>
      <c r="P18" s="13"/>
      <c r="Q18" s="13"/>
      <c r="R18" s="13"/>
      <c r="S18" s="13"/>
    </row>
    <row r="19" spans="1:19" x14ac:dyDescent="0.35">
      <c r="A19" s="12" t="s">
        <v>399</v>
      </c>
      <c r="B19" s="13"/>
      <c r="C19" s="13"/>
      <c r="D19" s="13"/>
      <c r="E19" s="13"/>
      <c r="F19" s="13"/>
      <c r="G19" s="13"/>
      <c r="H19" s="13"/>
      <c r="I19" s="13"/>
      <c r="J19" s="13"/>
      <c r="K19" s="13"/>
      <c r="L19" s="13"/>
      <c r="M19" s="13"/>
      <c r="N19" s="13"/>
      <c r="O19" s="13"/>
      <c r="P19" s="13"/>
      <c r="Q19" s="13"/>
      <c r="R19" s="13"/>
      <c r="S19" s="13"/>
    </row>
    <row r="20" spans="1:19" x14ac:dyDescent="0.35">
      <c r="A20" s="13" t="s">
        <v>665</v>
      </c>
      <c r="B20" s="13"/>
      <c r="C20" s="13"/>
      <c r="D20" s="13"/>
      <c r="E20" s="13"/>
      <c r="F20" s="13"/>
      <c r="G20" s="13"/>
      <c r="H20" s="13"/>
      <c r="I20" s="13"/>
      <c r="J20" s="13"/>
      <c r="K20" s="13"/>
      <c r="L20" s="13"/>
      <c r="M20" s="13"/>
      <c r="N20" s="13"/>
      <c r="O20" s="13"/>
      <c r="P20" s="13"/>
      <c r="Q20" s="13"/>
      <c r="R20" s="13"/>
      <c r="S20" s="13"/>
    </row>
    <row r="21" spans="1:19" x14ac:dyDescent="0.35">
      <c r="A21" s="12" t="s">
        <v>400</v>
      </c>
      <c r="B21" s="13"/>
      <c r="C21" s="13"/>
      <c r="D21" s="13"/>
      <c r="E21" s="13"/>
      <c r="F21" s="13"/>
      <c r="G21" s="13"/>
      <c r="H21" s="13"/>
      <c r="I21" s="13"/>
      <c r="J21" s="13"/>
      <c r="K21" s="13"/>
      <c r="L21" s="13"/>
      <c r="M21" s="13"/>
      <c r="N21" s="13"/>
      <c r="O21" s="13"/>
      <c r="P21" s="13"/>
      <c r="Q21" s="13"/>
      <c r="R21" s="13"/>
      <c r="S21" s="13"/>
    </row>
    <row r="22" spans="1:19" x14ac:dyDescent="0.35">
      <c r="A22" s="12" t="s">
        <v>401</v>
      </c>
      <c r="B22" s="13"/>
      <c r="C22" s="13"/>
      <c r="D22" s="13"/>
      <c r="E22" s="13"/>
      <c r="F22" s="13"/>
      <c r="G22" s="13"/>
      <c r="H22" s="13"/>
      <c r="I22" s="13"/>
      <c r="J22" s="13"/>
      <c r="K22" s="13"/>
      <c r="L22" s="13"/>
      <c r="M22" s="13"/>
      <c r="N22" s="13"/>
      <c r="O22" s="13"/>
      <c r="P22" s="13"/>
      <c r="Q22" s="13"/>
      <c r="R22" s="13"/>
      <c r="S22" s="13"/>
    </row>
    <row r="23" spans="1:19" x14ac:dyDescent="0.35">
      <c r="A23" s="12" t="s">
        <v>402</v>
      </c>
      <c r="B23" s="13"/>
      <c r="C23" s="13"/>
      <c r="D23" s="13"/>
      <c r="E23" s="13"/>
      <c r="F23" s="13"/>
      <c r="G23" s="13"/>
      <c r="H23" s="13"/>
      <c r="I23" s="13"/>
      <c r="J23" s="13"/>
      <c r="K23" s="13"/>
      <c r="L23" s="13"/>
      <c r="M23" s="13"/>
      <c r="N23" s="13"/>
      <c r="O23" s="13"/>
      <c r="P23" s="13"/>
      <c r="Q23" s="13"/>
      <c r="R23" s="13"/>
      <c r="S23" s="13"/>
    </row>
    <row r="24" spans="1:19" x14ac:dyDescent="0.35">
      <c r="A24" s="12" t="s">
        <v>403</v>
      </c>
      <c r="B24" s="13"/>
      <c r="C24" s="13"/>
      <c r="D24" s="13"/>
      <c r="E24" s="13"/>
      <c r="F24" s="13"/>
      <c r="G24" s="13"/>
      <c r="H24" s="13"/>
      <c r="I24" s="13"/>
      <c r="J24" s="13"/>
      <c r="K24" s="13"/>
      <c r="L24" s="13"/>
      <c r="M24" s="13"/>
      <c r="N24" s="13"/>
      <c r="O24" s="13"/>
      <c r="P24" s="13"/>
      <c r="Q24" s="13"/>
      <c r="R24" s="13"/>
      <c r="S24" s="13"/>
    </row>
    <row r="25" spans="1:19" x14ac:dyDescent="0.35">
      <c r="A25" s="12" t="s">
        <v>404</v>
      </c>
      <c r="B25" s="13"/>
      <c r="C25" s="13"/>
      <c r="D25" s="13"/>
      <c r="E25" s="13"/>
      <c r="F25" s="13"/>
      <c r="G25" s="13"/>
      <c r="H25" s="13"/>
      <c r="I25" s="13"/>
      <c r="J25" s="13"/>
      <c r="K25" s="13"/>
      <c r="L25" s="13"/>
      <c r="M25" s="13"/>
      <c r="N25" s="13"/>
      <c r="O25" s="13"/>
      <c r="P25" s="13"/>
      <c r="Q25" s="13"/>
      <c r="R25" s="13"/>
      <c r="S25" s="13"/>
    </row>
    <row r="26" spans="1:19" x14ac:dyDescent="0.35">
      <c r="A26" s="12" t="s">
        <v>405</v>
      </c>
      <c r="B26" s="13"/>
      <c r="C26" s="13"/>
      <c r="D26" s="13"/>
      <c r="E26" s="13"/>
      <c r="F26" s="13"/>
      <c r="G26" s="13"/>
      <c r="H26" s="13"/>
      <c r="I26" s="13"/>
      <c r="J26" s="13"/>
      <c r="K26" s="13"/>
      <c r="L26" s="13"/>
      <c r="M26" s="13"/>
      <c r="N26" s="13"/>
      <c r="O26" s="13"/>
      <c r="P26" s="13"/>
      <c r="Q26" s="13"/>
      <c r="R26" s="13"/>
      <c r="S26" s="13"/>
    </row>
    <row r="27" spans="1:19" x14ac:dyDescent="0.35">
      <c r="A27" s="12" t="s">
        <v>406</v>
      </c>
      <c r="B27" s="13"/>
      <c r="C27" s="13"/>
      <c r="D27" s="13"/>
      <c r="E27" s="13"/>
      <c r="F27" s="13"/>
      <c r="G27" s="13"/>
      <c r="H27" s="13"/>
      <c r="I27" s="13"/>
      <c r="J27" s="13"/>
      <c r="K27" s="13"/>
      <c r="L27" s="13"/>
      <c r="M27" s="13"/>
      <c r="N27" s="13"/>
      <c r="O27" s="13"/>
      <c r="P27" s="13"/>
      <c r="Q27" s="13"/>
      <c r="R27" s="13"/>
      <c r="S27" s="13"/>
    </row>
    <row r="28" spans="1:19" x14ac:dyDescent="0.35">
      <c r="A28" s="12" t="s">
        <v>407</v>
      </c>
      <c r="B28" s="13"/>
      <c r="C28" s="13"/>
      <c r="D28" s="13"/>
      <c r="E28" s="13"/>
      <c r="F28" s="13"/>
      <c r="G28" s="13"/>
      <c r="H28" s="13"/>
      <c r="I28" s="13"/>
      <c r="J28" s="13"/>
      <c r="K28" s="13"/>
      <c r="L28" s="13"/>
      <c r="M28" s="13"/>
      <c r="N28" s="13"/>
      <c r="O28" s="13"/>
      <c r="P28" s="13"/>
      <c r="Q28" s="13"/>
      <c r="R28" s="13"/>
      <c r="S28" s="13"/>
    </row>
    <row r="29" spans="1:19" x14ac:dyDescent="0.35">
      <c r="A29" s="12" t="s">
        <v>408</v>
      </c>
      <c r="B29" s="13"/>
      <c r="C29" s="13"/>
      <c r="D29" s="13"/>
      <c r="E29" s="13"/>
      <c r="F29" s="13"/>
      <c r="G29" s="13"/>
      <c r="H29" s="13"/>
      <c r="I29" s="13"/>
      <c r="J29" s="13"/>
      <c r="K29" s="13"/>
      <c r="L29" s="13"/>
      <c r="M29" s="13"/>
      <c r="N29" s="13"/>
      <c r="O29" s="13"/>
      <c r="P29" s="13"/>
      <c r="Q29" s="13"/>
      <c r="R29" s="13"/>
      <c r="S29" s="13"/>
    </row>
    <row r="30" spans="1:19" x14ac:dyDescent="0.35">
      <c r="A30" s="12" t="s">
        <v>409</v>
      </c>
      <c r="B30" s="13"/>
      <c r="C30" s="13"/>
      <c r="D30" s="13"/>
      <c r="E30" s="13"/>
      <c r="F30" s="13"/>
      <c r="G30" s="13"/>
      <c r="H30" s="13"/>
      <c r="I30" s="13"/>
      <c r="J30" s="13"/>
      <c r="K30" s="13"/>
      <c r="L30" s="13"/>
      <c r="M30" s="13"/>
      <c r="N30" s="13"/>
      <c r="O30" s="13"/>
      <c r="P30" s="13"/>
      <c r="Q30" s="13"/>
      <c r="R30" s="13"/>
      <c r="S30" s="13"/>
    </row>
    <row r="31" spans="1:19" x14ac:dyDescent="0.35">
      <c r="A31" s="12" t="s">
        <v>410</v>
      </c>
      <c r="B31" s="13"/>
      <c r="C31" s="13"/>
      <c r="D31" s="13"/>
      <c r="E31" s="13"/>
      <c r="F31" s="13"/>
      <c r="G31" s="13"/>
      <c r="H31" s="13"/>
      <c r="I31" s="13"/>
      <c r="J31" s="13"/>
      <c r="K31" s="13"/>
      <c r="L31" s="13"/>
      <c r="M31" s="13"/>
      <c r="N31" s="13"/>
      <c r="O31" s="13"/>
      <c r="P31" s="13"/>
      <c r="Q31" s="13"/>
      <c r="R31" s="13"/>
      <c r="S31" s="13"/>
    </row>
    <row r="32" spans="1:19" x14ac:dyDescent="0.35">
      <c r="A32" s="12" t="s">
        <v>411</v>
      </c>
      <c r="B32" s="13"/>
      <c r="C32" s="13"/>
      <c r="D32" s="13"/>
      <c r="E32" s="13"/>
      <c r="F32" s="13"/>
      <c r="G32" s="13"/>
      <c r="H32" s="13"/>
      <c r="I32" s="13"/>
      <c r="J32" s="13"/>
      <c r="K32" s="13"/>
      <c r="L32" s="13"/>
      <c r="M32" s="13"/>
      <c r="N32" s="13"/>
      <c r="O32" s="13"/>
      <c r="P32" s="13"/>
      <c r="Q32" s="13"/>
      <c r="R32" s="13"/>
      <c r="S32" s="13"/>
    </row>
    <row r="33" spans="1:19" x14ac:dyDescent="0.35">
      <c r="A33" s="12" t="s">
        <v>412</v>
      </c>
      <c r="B33" s="13"/>
      <c r="C33" s="13"/>
      <c r="D33" s="13"/>
      <c r="E33" s="13"/>
      <c r="F33" s="13"/>
      <c r="G33" s="13"/>
      <c r="H33" s="13"/>
      <c r="I33" s="13"/>
      <c r="J33" s="13"/>
      <c r="K33" s="13"/>
      <c r="L33" s="13"/>
      <c r="M33" s="13"/>
      <c r="N33" s="13"/>
      <c r="O33" s="13"/>
      <c r="P33" s="13"/>
      <c r="Q33" s="13"/>
      <c r="R33" s="13"/>
      <c r="S33" s="13"/>
    </row>
    <row r="34" spans="1:19" x14ac:dyDescent="0.35">
      <c r="A34" s="12" t="s">
        <v>413</v>
      </c>
      <c r="B34" s="13"/>
      <c r="C34" s="13"/>
      <c r="D34" s="13"/>
      <c r="E34" s="13"/>
      <c r="F34" s="13"/>
      <c r="G34" s="13"/>
      <c r="H34" s="13"/>
      <c r="I34" s="13"/>
      <c r="J34" s="13"/>
      <c r="K34" s="13"/>
      <c r="L34" s="13"/>
      <c r="M34" s="13"/>
      <c r="N34" s="13"/>
      <c r="O34" s="13"/>
      <c r="P34" s="13"/>
      <c r="Q34" s="13"/>
      <c r="R34" s="13"/>
      <c r="S34" s="13"/>
    </row>
    <row r="35" spans="1:19" x14ac:dyDescent="0.35">
      <c r="A35" s="12" t="s">
        <v>414</v>
      </c>
      <c r="B35" s="13"/>
      <c r="C35" s="13"/>
      <c r="D35" s="13"/>
      <c r="E35" s="13"/>
      <c r="F35" s="13"/>
      <c r="G35" s="13"/>
      <c r="H35" s="13"/>
      <c r="I35" s="13"/>
      <c r="J35" s="13"/>
      <c r="K35" s="13"/>
      <c r="L35" s="13"/>
      <c r="M35" s="13"/>
      <c r="N35" s="13"/>
      <c r="O35" s="13"/>
      <c r="P35" s="13"/>
      <c r="Q35" s="13"/>
      <c r="R35" s="13"/>
      <c r="S35" s="13"/>
    </row>
    <row r="36" spans="1:19" x14ac:dyDescent="0.35">
      <c r="A36" s="13"/>
      <c r="B36" s="13"/>
      <c r="C36" s="13"/>
      <c r="D36" s="13"/>
      <c r="E36" s="13"/>
      <c r="F36" s="13"/>
      <c r="G36" s="13"/>
      <c r="H36" s="13"/>
      <c r="I36" s="13"/>
      <c r="J36" s="13"/>
      <c r="K36" s="13"/>
      <c r="L36" s="13"/>
      <c r="M36" s="13"/>
      <c r="N36" s="13"/>
      <c r="O36" s="13"/>
      <c r="P36" s="13"/>
      <c r="Q36" s="13"/>
      <c r="R36" s="13"/>
      <c r="S36" s="13"/>
    </row>
    <row r="37" spans="1:19" x14ac:dyDescent="0.35">
      <c r="A37" s="13"/>
      <c r="B37" s="13"/>
      <c r="C37" s="13"/>
      <c r="D37" s="13"/>
      <c r="E37" s="13"/>
      <c r="F37" s="13"/>
      <c r="G37" s="13"/>
      <c r="H37" s="13"/>
      <c r="I37" s="13"/>
      <c r="J37" s="13"/>
      <c r="K37" s="13"/>
      <c r="L37" s="13"/>
      <c r="M37" s="13"/>
      <c r="N37" s="13"/>
      <c r="O37" s="13"/>
      <c r="P37" s="13"/>
      <c r="Q37" s="13"/>
      <c r="R37" s="13"/>
      <c r="S37" s="13"/>
    </row>
    <row r="38" spans="1:19" x14ac:dyDescent="0.35">
      <c r="A38" s="13"/>
      <c r="B38" s="13"/>
      <c r="C38" s="13"/>
      <c r="D38" s="13"/>
      <c r="E38" s="13"/>
      <c r="F38" s="13"/>
      <c r="G38" s="13"/>
      <c r="H38" s="13"/>
      <c r="I38" s="13"/>
      <c r="J38" s="13"/>
      <c r="K38" s="13"/>
      <c r="L38" s="13"/>
      <c r="M38" s="13"/>
      <c r="N38" s="13"/>
      <c r="O38" s="13"/>
      <c r="P38" s="13"/>
      <c r="Q38" s="13"/>
      <c r="R38" s="13"/>
      <c r="S38" s="13"/>
    </row>
    <row r="39" spans="1:19" x14ac:dyDescent="0.35">
      <c r="A39" s="13"/>
      <c r="B39" s="451"/>
      <c r="C39" s="475" t="s">
        <v>125</v>
      </c>
      <c r="D39" s="475" t="s">
        <v>126</v>
      </c>
      <c r="E39" s="476" t="s">
        <v>127</v>
      </c>
      <c r="F39" s="477" t="s">
        <v>807</v>
      </c>
      <c r="G39" s="476" t="s">
        <v>128</v>
      </c>
      <c r="H39" s="476" t="s">
        <v>129</v>
      </c>
      <c r="I39" s="476" t="s">
        <v>130</v>
      </c>
      <c r="J39" s="476" t="s">
        <v>131</v>
      </c>
      <c r="K39" s="476" t="s">
        <v>132</v>
      </c>
      <c r="L39" s="476" t="s">
        <v>133</v>
      </c>
      <c r="M39" s="477" t="s">
        <v>808</v>
      </c>
      <c r="N39" s="477" t="s">
        <v>809</v>
      </c>
      <c r="O39" s="476" t="s">
        <v>134</v>
      </c>
      <c r="P39" s="477" t="s">
        <v>135</v>
      </c>
      <c r="Q39" s="477" t="s">
        <v>136</v>
      </c>
      <c r="R39" s="477" t="s">
        <v>137</v>
      </c>
      <c r="S39" s="13"/>
    </row>
    <row r="40" spans="1:19" x14ac:dyDescent="0.35">
      <c r="A40" s="13"/>
      <c r="B40" s="449"/>
      <c r="C40" s="478" t="s">
        <v>138</v>
      </c>
      <c r="D40" s="411"/>
      <c r="E40" s="411"/>
      <c r="F40" s="411"/>
      <c r="G40" s="411" t="s">
        <v>139</v>
      </c>
      <c r="H40" s="411"/>
      <c r="I40" s="411"/>
      <c r="J40" s="411"/>
      <c r="K40" s="411" t="s">
        <v>139</v>
      </c>
      <c r="L40" s="411"/>
      <c r="M40" s="411"/>
      <c r="N40" s="411"/>
      <c r="O40" s="411"/>
      <c r="P40" s="411"/>
      <c r="Q40" s="411"/>
      <c r="R40" s="411"/>
      <c r="S40" s="13"/>
    </row>
    <row r="41" spans="1:19" x14ac:dyDescent="0.35">
      <c r="A41" s="13"/>
      <c r="B41" s="451" t="s">
        <v>10</v>
      </c>
      <c r="C41" s="479">
        <v>190</v>
      </c>
      <c r="D41" s="480">
        <f>3.9*1000</f>
        <v>3900</v>
      </c>
      <c r="E41" s="452">
        <v>6.0000000000000001E-3</v>
      </c>
      <c r="F41" s="248">
        <v>0</v>
      </c>
      <c r="G41" s="481">
        <f>8.3*1000</f>
        <v>8300</v>
      </c>
      <c r="H41" s="248">
        <v>0.89</v>
      </c>
      <c r="I41" s="480">
        <f>G41*H41</f>
        <v>7387</v>
      </c>
      <c r="J41" s="452">
        <v>1.3</v>
      </c>
      <c r="K41" s="480">
        <f t="shared" ref="K41:K50" si="0">I41*J41</f>
        <v>9603.1</v>
      </c>
      <c r="L41" s="248">
        <v>0.23</v>
      </c>
      <c r="M41" s="482">
        <v>1</v>
      </c>
      <c r="N41" s="481">
        <f t="shared" ref="N41:N50" si="1">(I41+K41)*L41*1*M41</f>
        <v>3907.723</v>
      </c>
      <c r="O41" s="483">
        <v>8.9999999999999993E-3</v>
      </c>
      <c r="P41" s="452">
        <f t="shared" ref="P41:P50" si="2">(D41*E41*(1-F41))+(N41*O41)</f>
        <v>58.569507000000002</v>
      </c>
      <c r="Q41" s="452">
        <f>(Results!$K$69*1/10)*1000</f>
        <v>0</v>
      </c>
      <c r="R41" s="484">
        <f t="shared" ref="R41:R50" si="3">0.01*44/28</f>
        <v>1.5714285714285715E-2</v>
      </c>
      <c r="S41" s="13"/>
    </row>
    <row r="42" spans="1:19" x14ac:dyDescent="0.35">
      <c r="A42" s="13"/>
      <c r="B42" s="447" t="s">
        <v>11</v>
      </c>
      <c r="C42" s="485">
        <v>130</v>
      </c>
      <c r="D42" s="486">
        <f>3.5*1000</f>
        <v>3500</v>
      </c>
      <c r="E42" s="487">
        <v>7.0000000000000001E-3</v>
      </c>
      <c r="F42" s="236">
        <v>0</v>
      </c>
      <c r="G42" s="488">
        <f>6.3*1000</f>
        <v>6300</v>
      </c>
      <c r="H42" s="236">
        <v>0.89</v>
      </c>
      <c r="I42" s="486">
        <f>G42*H42</f>
        <v>5607</v>
      </c>
      <c r="J42" s="448">
        <v>1.3</v>
      </c>
      <c r="K42" s="486">
        <f t="shared" si="0"/>
        <v>7289.1</v>
      </c>
      <c r="L42" s="236">
        <v>0.25</v>
      </c>
      <c r="M42" s="489">
        <v>1</v>
      </c>
      <c r="N42" s="488">
        <f t="shared" si="1"/>
        <v>3224.0250000000001</v>
      </c>
      <c r="O42" s="447">
        <v>8.0000000000000002E-3</v>
      </c>
      <c r="P42" s="448">
        <f t="shared" si="2"/>
        <v>50.292200000000001</v>
      </c>
      <c r="Q42" s="448">
        <f>(Results!$K$69*1/10)*1000</f>
        <v>0</v>
      </c>
      <c r="R42" s="490">
        <f t="shared" si="3"/>
        <v>1.5714285714285715E-2</v>
      </c>
      <c r="S42" s="13"/>
    </row>
    <row r="43" spans="1:19" x14ac:dyDescent="0.35">
      <c r="A43" s="13"/>
      <c r="B43" s="447" t="s">
        <v>12</v>
      </c>
      <c r="C43" s="485">
        <v>190</v>
      </c>
      <c r="D43" s="486">
        <f>2.6*1000</f>
        <v>2600</v>
      </c>
      <c r="E43" s="487">
        <v>1.4999999999999999E-2</v>
      </c>
      <c r="F43" s="236">
        <v>0</v>
      </c>
      <c r="G43" s="488">
        <f>3.5*1000</f>
        <v>3500</v>
      </c>
      <c r="H43" s="236">
        <v>0.9</v>
      </c>
      <c r="I43" s="486">
        <f>G43*H43</f>
        <v>3150</v>
      </c>
      <c r="J43" s="448">
        <v>0.3</v>
      </c>
      <c r="K43" s="486">
        <f t="shared" si="0"/>
        <v>945</v>
      </c>
      <c r="L43" s="236">
        <v>0.54</v>
      </c>
      <c r="M43" s="489">
        <v>1</v>
      </c>
      <c r="N43" s="488">
        <f t="shared" si="1"/>
        <v>2211.3000000000002</v>
      </c>
      <c r="O43" s="447">
        <v>1.2E-2</v>
      </c>
      <c r="P43" s="448">
        <f t="shared" si="2"/>
        <v>65.535600000000002</v>
      </c>
      <c r="Q43" s="448">
        <f>(Results!$K$69*1/10)*1000</f>
        <v>0</v>
      </c>
      <c r="R43" s="490">
        <f t="shared" si="3"/>
        <v>1.5714285714285715E-2</v>
      </c>
      <c r="S43" s="13"/>
    </row>
    <row r="44" spans="1:19" x14ac:dyDescent="0.35">
      <c r="A44" s="13"/>
      <c r="B44" s="447" t="s">
        <v>141</v>
      </c>
      <c r="C44" s="485">
        <v>156</v>
      </c>
      <c r="D44" s="486">
        <f>0.5*1000</f>
        <v>500</v>
      </c>
      <c r="E44" s="487">
        <v>1.9E-2</v>
      </c>
      <c r="F44" s="236">
        <v>0</v>
      </c>
      <c r="G44" s="488">
        <f>77*1000</f>
        <v>77000</v>
      </c>
      <c r="H44" s="236">
        <v>0.22</v>
      </c>
      <c r="I44" s="486">
        <f>G44*H44</f>
        <v>16940</v>
      </c>
      <c r="J44" s="448">
        <v>0.4</v>
      </c>
      <c r="K44" s="486">
        <f t="shared" si="0"/>
        <v>6776</v>
      </c>
      <c r="L44" s="236">
        <v>0.2</v>
      </c>
      <c r="M44" s="489">
        <v>1</v>
      </c>
      <c r="N44" s="488">
        <f t="shared" si="1"/>
        <v>4743.2</v>
      </c>
      <c r="O44" s="447">
        <v>1.4E-2</v>
      </c>
      <c r="P44" s="448">
        <f t="shared" si="2"/>
        <v>75.904799999999994</v>
      </c>
      <c r="Q44" s="448">
        <f>(Results!$K$69*1/10)*1000</f>
        <v>0</v>
      </c>
      <c r="R44" s="490">
        <f t="shared" si="3"/>
        <v>1.5714285714285715E-2</v>
      </c>
      <c r="S44" s="13"/>
    </row>
    <row r="45" spans="1:19" x14ac:dyDescent="0.35">
      <c r="A45" s="13"/>
      <c r="B45" s="447" t="s">
        <v>14</v>
      </c>
      <c r="C45" s="485">
        <v>150</v>
      </c>
      <c r="D45" s="486">
        <f>3.31*1000</f>
        <v>3310</v>
      </c>
      <c r="E45" s="487">
        <v>6.0000000000000001E-3</v>
      </c>
      <c r="F45" s="236">
        <v>0</v>
      </c>
      <c r="G45" s="488">
        <f>12*1000</f>
        <v>12000</v>
      </c>
      <c r="H45" s="236">
        <v>0.87</v>
      </c>
      <c r="I45" s="486">
        <f>G45*H45</f>
        <v>10440</v>
      </c>
      <c r="J45" s="448">
        <v>1</v>
      </c>
      <c r="K45" s="486">
        <f t="shared" si="0"/>
        <v>10440</v>
      </c>
      <c r="L45" s="236">
        <v>0.22</v>
      </c>
      <c r="M45" s="489">
        <v>1</v>
      </c>
      <c r="N45" s="488">
        <f t="shared" si="1"/>
        <v>4593.6000000000004</v>
      </c>
      <c r="O45" s="447">
        <v>7.0000000000000001E-3</v>
      </c>
      <c r="P45" s="448">
        <f t="shared" si="2"/>
        <v>52.0152</v>
      </c>
      <c r="Q45" s="448">
        <f>(Results!$K$69*1/10)*1000</f>
        <v>0</v>
      </c>
      <c r="R45" s="490">
        <f t="shared" si="3"/>
        <v>1.5714285714285715E-2</v>
      </c>
      <c r="S45" s="13"/>
    </row>
    <row r="46" spans="1:19" x14ac:dyDescent="0.35">
      <c r="A46" s="13"/>
      <c r="B46" s="447" t="s">
        <v>667</v>
      </c>
      <c r="C46" s="485">
        <v>90</v>
      </c>
      <c r="D46" s="486">
        <f>'Other input data'!$G$88*1000</f>
        <v>1850</v>
      </c>
      <c r="E46" s="487">
        <v>1.4999999999999999E-2</v>
      </c>
      <c r="F46" s="236">
        <v>0</v>
      </c>
      <c r="G46" s="491" t="s">
        <v>27</v>
      </c>
      <c r="H46" s="128" t="s">
        <v>27</v>
      </c>
      <c r="I46" s="488">
        <f>30*1000</f>
        <v>30000</v>
      </c>
      <c r="J46" s="448">
        <v>0.3</v>
      </c>
      <c r="K46" s="486">
        <f t="shared" si="0"/>
        <v>9000</v>
      </c>
      <c r="L46" s="236">
        <v>0.8</v>
      </c>
      <c r="M46" s="492">
        <f>1/4</f>
        <v>0.25</v>
      </c>
      <c r="N46" s="488">
        <f t="shared" si="1"/>
        <v>7800</v>
      </c>
      <c r="O46" s="447">
        <v>1.2E-2</v>
      </c>
      <c r="P46" s="448">
        <f t="shared" si="2"/>
        <v>121.35000000000001</v>
      </c>
      <c r="Q46" s="448">
        <v>0</v>
      </c>
      <c r="R46" s="490">
        <f t="shared" si="3"/>
        <v>1.5714285714285715E-2</v>
      </c>
      <c r="S46" s="13"/>
    </row>
    <row r="47" spans="1:19" x14ac:dyDescent="0.35">
      <c r="A47" s="13"/>
      <c r="B47" s="447" t="s">
        <v>668</v>
      </c>
      <c r="C47" s="485">
        <v>90</v>
      </c>
      <c r="D47" s="486">
        <f>'Other input data'!$G$88*1000</f>
        <v>1850</v>
      </c>
      <c r="E47" s="487">
        <v>1.4999999999999999E-2</v>
      </c>
      <c r="F47" s="236">
        <v>0</v>
      </c>
      <c r="G47" s="491" t="s">
        <v>27</v>
      </c>
      <c r="H47" s="128" t="s">
        <v>27</v>
      </c>
      <c r="I47" s="488">
        <f>30*1000</f>
        <v>30000</v>
      </c>
      <c r="J47" s="448">
        <v>0.3</v>
      </c>
      <c r="K47" s="486">
        <f t="shared" si="0"/>
        <v>9000</v>
      </c>
      <c r="L47" s="236">
        <v>0.8</v>
      </c>
      <c r="M47" s="492">
        <f>1/3</f>
        <v>0.33333333333333331</v>
      </c>
      <c r="N47" s="488">
        <f t="shared" si="1"/>
        <v>10400</v>
      </c>
      <c r="O47" s="447">
        <v>1.2E-2</v>
      </c>
      <c r="P47" s="448">
        <f t="shared" si="2"/>
        <v>152.55000000000001</v>
      </c>
      <c r="Q47" s="448">
        <v>0</v>
      </c>
      <c r="R47" s="490">
        <f t="shared" si="3"/>
        <v>1.5714285714285715E-2</v>
      </c>
      <c r="S47" s="13"/>
    </row>
    <row r="48" spans="1:19" x14ac:dyDescent="0.35">
      <c r="A48" s="13"/>
      <c r="B48" s="447" t="s">
        <v>28</v>
      </c>
      <c r="C48" s="485">
        <v>84</v>
      </c>
      <c r="D48" s="486">
        <f>Litter!$E$30*1000</f>
        <v>4452.291666666667</v>
      </c>
      <c r="E48" s="487">
        <v>1.4999999999999999E-2</v>
      </c>
      <c r="F48" s="236">
        <v>0</v>
      </c>
      <c r="G48" s="491" t="s">
        <v>27</v>
      </c>
      <c r="H48" s="128" t="s">
        <v>27</v>
      </c>
      <c r="I48" s="488">
        <f>12.5*1000</f>
        <v>12500</v>
      </c>
      <c r="J48" s="448">
        <v>0.3</v>
      </c>
      <c r="K48" s="486">
        <f t="shared" si="0"/>
        <v>3750</v>
      </c>
      <c r="L48" s="236">
        <v>0.8</v>
      </c>
      <c r="M48" s="489">
        <v>1</v>
      </c>
      <c r="N48" s="488">
        <f t="shared" si="1"/>
        <v>13000</v>
      </c>
      <c r="O48" s="447">
        <v>1.2E-2</v>
      </c>
      <c r="P48" s="448">
        <f t="shared" si="2"/>
        <v>222.78437500000001</v>
      </c>
      <c r="Q48" s="448">
        <v>0</v>
      </c>
      <c r="R48" s="490">
        <f t="shared" si="3"/>
        <v>1.5714285714285715E-2</v>
      </c>
      <c r="S48" s="13"/>
    </row>
    <row r="49" spans="1:19" x14ac:dyDescent="0.35">
      <c r="A49" s="13"/>
      <c r="B49" s="447" t="s">
        <v>29</v>
      </c>
      <c r="C49" s="485">
        <v>100</v>
      </c>
      <c r="D49" s="486">
        <f>Litter!$E$34*1000</f>
        <v>4124.0349999999999</v>
      </c>
      <c r="E49" s="487">
        <v>1.4999999999999999E-2</v>
      </c>
      <c r="F49" s="236">
        <v>0</v>
      </c>
      <c r="G49" s="491" t="s">
        <v>27</v>
      </c>
      <c r="H49" s="128" t="s">
        <v>27</v>
      </c>
      <c r="I49" s="488">
        <f>11.6*1000</f>
        <v>11600</v>
      </c>
      <c r="J49" s="448">
        <v>0.3</v>
      </c>
      <c r="K49" s="486">
        <f t="shared" si="0"/>
        <v>3480</v>
      </c>
      <c r="L49" s="236">
        <v>0.8</v>
      </c>
      <c r="M49" s="489">
        <v>1</v>
      </c>
      <c r="N49" s="488">
        <f t="shared" si="1"/>
        <v>12064</v>
      </c>
      <c r="O49" s="447">
        <v>1.2E-2</v>
      </c>
      <c r="P49" s="448">
        <f t="shared" si="2"/>
        <v>206.628525</v>
      </c>
      <c r="Q49" s="448">
        <v>0</v>
      </c>
      <c r="R49" s="490">
        <f t="shared" si="3"/>
        <v>1.5714285714285715E-2</v>
      </c>
      <c r="S49" s="13"/>
    </row>
    <row r="50" spans="1:19" x14ac:dyDescent="0.35">
      <c r="A50" s="13"/>
      <c r="B50" s="449" t="s">
        <v>30</v>
      </c>
      <c r="C50" s="493">
        <v>120</v>
      </c>
      <c r="D50" s="494">
        <f>Litter!E39*1000</f>
        <v>0</v>
      </c>
      <c r="E50" s="495">
        <v>1.4999999999999999E-2</v>
      </c>
      <c r="F50" s="249">
        <v>0</v>
      </c>
      <c r="G50" s="496" t="s">
        <v>27</v>
      </c>
      <c r="H50" s="497" t="s">
        <v>27</v>
      </c>
      <c r="I50" s="498">
        <f>16.3*1000</f>
        <v>16300</v>
      </c>
      <c r="J50" s="450">
        <v>0.3</v>
      </c>
      <c r="K50" s="494">
        <f t="shared" si="0"/>
        <v>4890</v>
      </c>
      <c r="L50" s="249">
        <v>0.8</v>
      </c>
      <c r="M50" s="499">
        <v>1</v>
      </c>
      <c r="N50" s="498">
        <f t="shared" si="1"/>
        <v>16952</v>
      </c>
      <c r="O50" s="449">
        <v>1.2E-2</v>
      </c>
      <c r="P50" s="450">
        <f t="shared" si="2"/>
        <v>203.42400000000001</v>
      </c>
      <c r="Q50" s="450">
        <v>0</v>
      </c>
      <c r="R50" s="500">
        <f t="shared" si="3"/>
        <v>1.5714285714285715E-2</v>
      </c>
      <c r="S50" s="13"/>
    </row>
    <row r="51" spans="1:19" x14ac:dyDescent="0.35">
      <c r="F51" s="9" t="s">
        <v>782</v>
      </c>
    </row>
  </sheetData>
  <mergeCells count="21">
    <mergeCell ref="A3:B3"/>
    <mergeCell ref="C3:G3"/>
    <mergeCell ref="A4:B4"/>
    <mergeCell ref="C4:G4"/>
    <mergeCell ref="A5:B5"/>
    <mergeCell ref="C5:G5"/>
    <mergeCell ref="A12:A13"/>
    <mergeCell ref="E12:E13"/>
    <mergeCell ref="A6:B6"/>
    <mergeCell ref="C6:G6"/>
    <mergeCell ref="A7:B7"/>
    <mergeCell ref="C7:G7"/>
    <mergeCell ref="A8:B11"/>
    <mergeCell ref="C8:D8"/>
    <mergeCell ref="E8:F8"/>
    <mergeCell ref="C9:D9"/>
    <mergeCell ref="E9:F9"/>
    <mergeCell ref="C10:D10"/>
    <mergeCell ref="E10:F10"/>
    <mergeCell ref="C11:D11"/>
    <mergeCell ref="E11:F11"/>
  </mergeCells>
  <pageMargins left="1.25" right="1.25" top="1" bottom="1" header="0.25" footer="0.25"/>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E31"/>
  <sheetViews>
    <sheetView topLeftCell="A7" workbookViewId="0">
      <selection activeCell="D20" sqref="D20"/>
    </sheetView>
  </sheetViews>
  <sheetFormatPr defaultRowHeight="14.5" x14ac:dyDescent="0.35"/>
  <cols>
    <col min="1" max="1" width="18.81640625" customWidth="1"/>
    <col min="2" max="2" width="10.453125" customWidth="1"/>
    <col min="3" max="3" width="15.1796875" customWidth="1"/>
    <col min="4" max="4" width="16.1796875" customWidth="1"/>
    <col min="5" max="5" width="22.81640625" customWidth="1"/>
  </cols>
  <sheetData>
    <row r="1" spans="1:5" x14ac:dyDescent="0.35">
      <c r="A1" s="1"/>
    </row>
    <row r="3" spans="1:5" ht="11.5" customHeight="1" x14ac:dyDescent="0.35">
      <c r="A3" s="267" t="s">
        <v>233</v>
      </c>
      <c r="B3" s="552" t="s">
        <v>234</v>
      </c>
      <c r="C3" s="552"/>
      <c r="D3" s="552"/>
      <c r="E3" s="552"/>
    </row>
    <row r="4" spans="1:5" ht="11.5" customHeight="1" x14ac:dyDescent="0.35">
      <c r="A4" s="267" t="s">
        <v>235</v>
      </c>
      <c r="B4" s="552" t="s">
        <v>415</v>
      </c>
      <c r="C4" s="552"/>
      <c r="D4" s="552"/>
      <c r="E4" s="552"/>
    </row>
    <row r="5" spans="1:5" ht="11.5" customHeight="1" x14ac:dyDescent="0.35">
      <c r="A5" s="267" t="s">
        <v>237</v>
      </c>
      <c r="B5" s="552" t="s">
        <v>416</v>
      </c>
      <c r="C5" s="552"/>
      <c r="D5" s="552"/>
      <c r="E5" s="552"/>
    </row>
    <row r="6" spans="1:5" ht="11.5" customHeight="1" x14ac:dyDescent="0.35">
      <c r="A6" s="267" t="s">
        <v>239</v>
      </c>
      <c r="B6" s="552" t="s">
        <v>376</v>
      </c>
      <c r="C6" s="552"/>
      <c r="D6" s="552"/>
      <c r="E6" s="552"/>
    </row>
    <row r="7" spans="1:5" ht="20.5" customHeight="1" x14ac:dyDescent="0.35">
      <c r="A7" s="267" t="s">
        <v>241</v>
      </c>
      <c r="B7" s="540" t="s">
        <v>417</v>
      </c>
      <c r="C7" s="540"/>
      <c r="D7" s="540"/>
      <c r="E7" s="540"/>
    </row>
    <row r="8" spans="1:5" ht="69.5" thickBot="1" x14ac:dyDescent="0.4">
      <c r="A8" s="576" t="s">
        <v>418</v>
      </c>
      <c r="B8" s="268" t="s">
        <v>419</v>
      </c>
      <c r="C8" s="269" t="s">
        <v>420</v>
      </c>
      <c r="D8" s="241" t="s">
        <v>421</v>
      </c>
      <c r="E8" s="269" t="s">
        <v>422</v>
      </c>
    </row>
    <row r="9" spans="1:5" ht="39.5" thickTop="1" thickBot="1" x14ac:dyDescent="0.4">
      <c r="A9" s="576"/>
      <c r="B9" s="269" t="s">
        <v>423</v>
      </c>
      <c r="C9" s="269" t="s">
        <v>424</v>
      </c>
      <c r="D9" s="269" t="s">
        <v>425</v>
      </c>
      <c r="E9" s="271" t="s">
        <v>384</v>
      </c>
    </row>
    <row r="10" spans="1:5" ht="24" thickTop="1" thickBot="1" x14ac:dyDescent="0.4">
      <c r="A10" s="576"/>
      <c r="B10" s="270"/>
      <c r="C10" s="271" t="s">
        <v>426</v>
      </c>
      <c r="D10" s="271" t="s">
        <v>426</v>
      </c>
      <c r="E10" s="241" t="s">
        <v>427</v>
      </c>
    </row>
    <row r="11" spans="1:5" ht="15.5" thickTop="1" thickBot="1" x14ac:dyDescent="0.4">
      <c r="A11" s="576"/>
      <c r="B11" s="272" t="s">
        <v>428</v>
      </c>
      <c r="C11" s="272" t="s">
        <v>429</v>
      </c>
      <c r="D11" s="272" t="s">
        <v>430</v>
      </c>
      <c r="E11" s="272" t="s">
        <v>431</v>
      </c>
    </row>
    <row r="12" spans="1:5" ht="15.65" customHeight="1" thickTop="1" x14ac:dyDescent="0.35">
      <c r="A12" s="290" t="s">
        <v>369</v>
      </c>
      <c r="B12" s="140"/>
      <c r="C12" s="460"/>
      <c r="D12" s="460"/>
      <c r="E12" s="17"/>
    </row>
    <row r="14" spans="1:5" x14ac:dyDescent="0.35">
      <c r="A14" s="25" t="s">
        <v>432</v>
      </c>
    </row>
    <row r="15" spans="1:5" x14ac:dyDescent="0.35">
      <c r="A15" s="12" t="s">
        <v>396</v>
      </c>
    </row>
    <row r="16" spans="1:5" x14ac:dyDescent="0.35">
      <c r="A16" s="12" t="s">
        <v>433</v>
      </c>
    </row>
    <row r="17" spans="1:5" x14ac:dyDescent="0.35">
      <c r="A17" s="12" t="s">
        <v>434</v>
      </c>
    </row>
    <row r="20" spans="1:5" x14ac:dyDescent="0.35">
      <c r="B20" s="138"/>
      <c r="C20" s="415" t="s">
        <v>788</v>
      </c>
      <c r="D20" s="415" t="s">
        <v>789</v>
      </c>
      <c r="E20" s="415" t="s">
        <v>790</v>
      </c>
    </row>
    <row r="21" spans="1:5" x14ac:dyDescent="0.35">
      <c r="B21" s="411"/>
      <c r="C21" s="411"/>
      <c r="D21" s="411"/>
      <c r="E21" s="411"/>
    </row>
    <row r="22" spans="1:5" x14ac:dyDescent="0.35">
      <c r="B22" s="462" t="s">
        <v>10</v>
      </c>
      <c r="C22" s="13">
        <f>directN2O_1!C41</f>
        <v>190</v>
      </c>
      <c r="D22" s="13">
        <v>0.11</v>
      </c>
      <c r="E22" s="13">
        <v>1.4E-2</v>
      </c>
    </row>
    <row r="23" spans="1:5" x14ac:dyDescent="0.35">
      <c r="B23" s="462" t="s">
        <v>11</v>
      </c>
      <c r="C23" s="13">
        <f>directN2O_1!C42</f>
        <v>130</v>
      </c>
      <c r="D23" s="13">
        <v>0.11</v>
      </c>
      <c r="E23" s="13">
        <v>1.4E-2</v>
      </c>
    </row>
    <row r="24" spans="1:5" x14ac:dyDescent="0.35">
      <c r="B24" s="462" t="s">
        <v>12</v>
      </c>
      <c r="C24" s="13">
        <f>directN2O_1!C43</f>
        <v>190</v>
      </c>
      <c r="D24" s="13">
        <v>0.11</v>
      </c>
      <c r="E24" s="13">
        <v>1.4E-2</v>
      </c>
    </row>
    <row r="25" spans="1:5" x14ac:dyDescent="0.35">
      <c r="A25" s="1"/>
      <c r="B25" s="462" t="s">
        <v>13</v>
      </c>
      <c r="C25" s="13">
        <f>directN2O_1!C44</f>
        <v>156</v>
      </c>
      <c r="D25" s="13">
        <v>0.11</v>
      </c>
      <c r="E25" s="13">
        <v>1.4E-2</v>
      </c>
    </row>
    <row r="26" spans="1:5" x14ac:dyDescent="0.35">
      <c r="B26" s="462" t="s">
        <v>14</v>
      </c>
      <c r="C26" s="13">
        <f>directN2O_1!C45</f>
        <v>150</v>
      </c>
      <c r="D26" s="13">
        <v>0.11</v>
      </c>
      <c r="E26" s="13">
        <v>1.4E-2</v>
      </c>
    </row>
    <row r="27" spans="1:5" x14ac:dyDescent="0.35">
      <c r="B27" s="462" t="s">
        <v>666</v>
      </c>
      <c r="C27" s="13">
        <f>directN2O_1!C46</f>
        <v>90</v>
      </c>
      <c r="D27" s="13">
        <v>0.11</v>
      </c>
      <c r="E27" s="13">
        <v>1.4E-2</v>
      </c>
    </row>
    <row r="28" spans="1:5" ht="20" x14ac:dyDescent="0.35">
      <c r="B28" s="462" t="s">
        <v>787</v>
      </c>
      <c r="C28" s="13">
        <f>directN2O_1!C47</f>
        <v>90</v>
      </c>
      <c r="D28" s="13">
        <v>0.11</v>
      </c>
      <c r="E28" s="13">
        <v>1.4E-2</v>
      </c>
    </row>
    <row r="29" spans="1:5" x14ac:dyDescent="0.35">
      <c r="B29" s="462" t="s">
        <v>28</v>
      </c>
      <c r="C29" s="13">
        <f>directN2O_1!C48</f>
        <v>84</v>
      </c>
      <c r="D29" s="13">
        <v>0.11</v>
      </c>
      <c r="E29" s="13">
        <v>1.4E-2</v>
      </c>
    </row>
    <row r="30" spans="1:5" x14ac:dyDescent="0.35">
      <c r="B30" s="462" t="s">
        <v>29</v>
      </c>
      <c r="C30" s="13">
        <f>directN2O_1!C49</f>
        <v>100</v>
      </c>
      <c r="D30" s="13">
        <v>0.11</v>
      </c>
      <c r="E30" s="13">
        <v>1.4E-2</v>
      </c>
    </row>
    <row r="31" spans="1:5" x14ac:dyDescent="0.35">
      <c r="B31" s="463" t="s">
        <v>30</v>
      </c>
      <c r="C31" s="411">
        <f>directN2O_1!C50</f>
        <v>120</v>
      </c>
      <c r="D31" s="411">
        <v>0.11</v>
      </c>
      <c r="E31" s="411">
        <v>1.4E-2</v>
      </c>
    </row>
  </sheetData>
  <mergeCells count="6">
    <mergeCell ref="A8:A11"/>
    <mergeCell ref="B3:E3"/>
    <mergeCell ref="B4:E4"/>
    <mergeCell ref="B5:E5"/>
    <mergeCell ref="B6:E6"/>
    <mergeCell ref="B7:E7"/>
  </mergeCells>
  <pageMargins left="1.25" right="1.25" top="1" bottom="1" header="0.25" footer="0.25"/>
  <pageSetup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3:G31"/>
  <sheetViews>
    <sheetView workbookViewId="0">
      <selection activeCell="E23" sqref="E23"/>
    </sheetView>
  </sheetViews>
  <sheetFormatPr defaultRowHeight="14.5" x14ac:dyDescent="0.35"/>
  <cols>
    <col min="1" max="1" width="18.81640625" customWidth="1"/>
    <col min="2" max="2" width="11.81640625" customWidth="1"/>
    <col min="3" max="4" width="21.1796875" customWidth="1"/>
    <col min="5" max="5" width="14" customWidth="1"/>
    <col min="6" max="6" width="11.81640625" customWidth="1"/>
    <col min="7" max="7" width="16.1796875" customWidth="1"/>
  </cols>
  <sheetData>
    <row r="3" spans="1:7" ht="11.15" customHeight="1" x14ac:dyDescent="0.35">
      <c r="A3" s="267" t="s">
        <v>233</v>
      </c>
      <c r="B3" s="552" t="s">
        <v>234</v>
      </c>
      <c r="C3" s="552"/>
      <c r="D3" s="552"/>
      <c r="E3" s="552"/>
      <c r="F3" s="552"/>
      <c r="G3" s="552"/>
    </row>
    <row r="4" spans="1:7" ht="10.75" customHeight="1" x14ac:dyDescent="0.35">
      <c r="A4" s="267" t="s">
        <v>235</v>
      </c>
      <c r="B4" s="552" t="s">
        <v>435</v>
      </c>
      <c r="C4" s="552"/>
      <c r="D4" s="552"/>
      <c r="E4" s="552"/>
      <c r="F4" s="552"/>
      <c r="G4" s="552"/>
    </row>
    <row r="5" spans="1:7" ht="10.75" customHeight="1" x14ac:dyDescent="0.35">
      <c r="A5" s="267" t="s">
        <v>237</v>
      </c>
      <c r="B5" s="552" t="s">
        <v>416</v>
      </c>
      <c r="C5" s="552"/>
      <c r="D5" s="552"/>
      <c r="E5" s="552"/>
      <c r="F5" s="552"/>
      <c r="G5" s="552"/>
    </row>
    <row r="6" spans="1:7" ht="11.15" customHeight="1" x14ac:dyDescent="0.35">
      <c r="A6" s="267" t="s">
        <v>239</v>
      </c>
      <c r="B6" s="552" t="s">
        <v>436</v>
      </c>
      <c r="C6" s="552"/>
      <c r="D6" s="552"/>
      <c r="E6" s="552"/>
      <c r="F6" s="552"/>
      <c r="G6" s="552"/>
    </row>
    <row r="7" spans="1:7" ht="24.65" customHeight="1" x14ac:dyDescent="0.35">
      <c r="A7" s="267" t="s">
        <v>241</v>
      </c>
      <c r="B7" s="596" t="s">
        <v>437</v>
      </c>
      <c r="C7" s="596"/>
      <c r="D7" s="596"/>
      <c r="E7" s="596"/>
      <c r="F7" s="596"/>
      <c r="G7" s="596"/>
    </row>
    <row r="8" spans="1:7" ht="68.900000000000006" customHeight="1" thickBot="1" x14ac:dyDescent="0.4">
      <c r="A8" s="576" t="s">
        <v>418</v>
      </c>
      <c r="B8" s="2" t="s">
        <v>438</v>
      </c>
      <c r="C8" s="269" t="s">
        <v>439</v>
      </c>
      <c r="D8" s="269" t="s">
        <v>440</v>
      </c>
      <c r="E8" s="269" t="s">
        <v>441</v>
      </c>
      <c r="F8" s="241" t="s">
        <v>442</v>
      </c>
      <c r="G8" s="269" t="s">
        <v>443</v>
      </c>
    </row>
    <row r="9" spans="1:7" ht="38.5" customHeight="1" thickTop="1" thickBot="1" x14ac:dyDescent="0.4">
      <c r="A9" s="576"/>
      <c r="B9" s="3" t="s">
        <v>382</v>
      </c>
      <c r="C9" s="271" t="s">
        <v>382</v>
      </c>
      <c r="D9" s="271" t="s">
        <v>382</v>
      </c>
      <c r="E9" s="271" t="s">
        <v>444</v>
      </c>
      <c r="F9" s="4" t="s">
        <v>445</v>
      </c>
      <c r="G9" s="271" t="s">
        <v>384</v>
      </c>
    </row>
    <row r="10" spans="1:7" ht="38.25" customHeight="1" thickTop="1" thickBot="1" x14ac:dyDescent="0.4">
      <c r="A10" s="576"/>
      <c r="B10" s="270"/>
      <c r="C10" s="270"/>
      <c r="D10" s="270"/>
      <c r="E10" s="271" t="s">
        <v>426</v>
      </c>
      <c r="F10" s="3" t="s">
        <v>426</v>
      </c>
      <c r="G10" s="241" t="s">
        <v>446</v>
      </c>
    </row>
    <row r="11" spans="1:7" ht="15.5" thickTop="1" thickBot="1" x14ac:dyDescent="0.4">
      <c r="A11" s="576"/>
      <c r="B11" s="5" t="s">
        <v>428</v>
      </c>
      <c r="C11" s="272" t="s">
        <v>447</v>
      </c>
      <c r="D11" s="272" t="s">
        <v>448</v>
      </c>
      <c r="E11" s="272" t="s">
        <v>449</v>
      </c>
      <c r="F11" s="272" t="s">
        <v>450</v>
      </c>
      <c r="G11" s="272" t="s">
        <v>451</v>
      </c>
    </row>
    <row r="12" spans="1:7" ht="15.65" customHeight="1" thickTop="1" x14ac:dyDescent="0.35">
      <c r="A12" s="290" t="s">
        <v>369</v>
      </c>
      <c r="B12" s="140"/>
      <c r="C12" s="460"/>
      <c r="D12" s="460"/>
      <c r="E12" s="460"/>
      <c r="F12" s="460"/>
      <c r="G12" s="17"/>
    </row>
    <row r="14" spans="1:7" x14ac:dyDescent="0.35">
      <c r="A14" s="25" t="s">
        <v>452</v>
      </c>
    </row>
    <row r="15" spans="1:7" x14ac:dyDescent="0.35">
      <c r="A15" s="12" t="s">
        <v>396</v>
      </c>
    </row>
    <row r="16" spans="1:7" x14ac:dyDescent="0.35">
      <c r="A16" s="12" t="s">
        <v>453</v>
      </c>
    </row>
    <row r="17" spans="1:7" x14ac:dyDescent="0.35">
      <c r="A17" s="12" t="s">
        <v>454</v>
      </c>
    </row>
    <row r="18" spans="1:7" x14ac:dyDescent="0.35">
      <c r="A18" s="12" t="s">
        <v>455</v>
      </c>
    </row>
    <row r="19" spans="1:7" x14ac:dyDescent="0.35">
      <c r="A19" s="12" t="s">
        <v>456</v>
      </c>
    </row>
    <row r="22" spans="1:7" x14ac:dyDescent="0.35">
      <c r="B22" s="425"/>
      <c r="C22" s="501" t="s">
        <v>794</v>
      </c>
      <c r="D22" s="501" t="s">
        <v>795</v>
      </c>
      <c r="E22" s="501" t="s">
        <v>796</v>
      </c>
      <c r="F22" s="501" t="s">
        <v>797</v>
      </c>
      <c r="G22" s="501" t="s">
        <v>798</v>
      </c>
    </row>
    <row r="23" spans="1:7" x14ac:dyDescent="0.35">
      <c r="B23" s="388" t="s">
        <v>10</v>
      </c>
      <c r="C23" s="502">
        <f>directN2O_1!C41</f>
        <v>190</v>
      </c>
      <c r="D23" s="402">
        <f>directN2O_1!P41</f>
        <v>58.569507000000002</v>
      </c>
      <c r="E23" s="503">
        <f>(Results!$K$69*1/10)*1000</f>
        <v>0</v>
      </c>
      <c r="F23" s="402">
        <v>0.24</v>
      </c>
      <c r="G23" s="504">
        <v>1.0999999999999999E-2</v>
      </c>
    </row>
    <row r="24" spans="1:7" x14ac:dyDescent="0.35">
      <c r="B24" s="389" t="s">
        <v>11</v>
      </c>
      <c r="C24" s="505">
        <f>directN2O_1!C42</f>
        <v>130</v>
      </c>
      <c r="D24" s="159">
        <f>directN2O_1!P42</f>
        <v>50.292200000000001</v>
      </c>
      <c r="E24" s="465">
        <f>(Results!$K$69*1/10)*1000</f>
        <v>0</v>
      </c>
      <c r="F24" s="159">
        <v>0.24</v>
      </c>
      <c r="G24" s="466">
        <v>1.0999999999999999E-2</v>
      </c>
    </row>
    <row r="25" spans="1:7" x14ac:dyDescent="0.35">
      <c r="B25" s="389" t="s">
        <v>12</v>
      </c>
      <c r="C25" s="505">
        <f>directN2O_1!C43</f>
        <v>190</v>
      </c>
      <c r="D25" s="159">
        <f>directN2O_1!P43</f>
        <v>65.535600000000002</v>
      </c>
      <c r="E25" s="465">
        <f>(Results!$K$69*1/10)*1000</f>
        <v>0</v>
      </c>
      <c r="F25" s="159">
        <v>0.24</v>
      </c>
      <c r="G25" s="466">
        <v>1.0999999999999999E-2</v>
      </c>
    </row>
    <row r="26" spans="1:7" x14ac:dyDescent="0.35">
      <c r="B26" s="389" t="s">
        <v>13</v>
      </c>
      <c r="C26" s="505">
        <f>directN2O_1!C44</f>
        <v>156</v>
      </c>
      <c r="D26" s="159">
        <f>directN2O_1!P44</f>
        <v>75.904799999999994</v>
      </c>
      <c r="E26" s="465">
        <f>(Results!$K$69*1/10)*1000</f>
        <v>0</v>
      </c>
      <c r="F26" s="159">
        <v>0.24</v>
      </c>
      <c r="G26" s="466">
        <v>1.0999999999999999E-2</v>
      </c>
    </row>
    <row r="27" spans="1:7" x14ac:dyDescent="0.35">
      <c r="B27" s="389" t="s">
        <v>14</v>
      </c>
      <c r="C27" s="505">
        <f>directN2O_1!C45</f>
        <v>150</v>
      </c>
      <c r="D27" s="159">
        <f>directN2O_1!P45</f>
        <v>52.0152</v>
      </c>
      <c r="E27" s="465">
        <f>(Results!$K$69*1/10)*1000</f>
        <v>0</v>
      </c>
      <c r="F27" s="159">
        <v>0.24</v>
      </c>
      <c r="G27" s="466">
        <v>1.0999999999999999E-2</v>
      </c>
    </row>
    <row r="28" spans="1:7" x14ac:dyDescent="0.35">
      <c r="B28" s="389" t="s">
        <v>26</v>
      </c>
      <c r="C28" s="505">
        <f>directN2O_1!C46</f>
        <v>90</v>
      </c>
      <c r="D28" s="159">
        <v>0</v>
      </c>
      <c r="E28" s="465">
        <f>(Results!$K$69*1/10)*1000</f>
        <v>0</v>
      </c>
      <c r="F28" s="159">
        <v>0.24</v>
      </c>
      <c r="G28" s="466">
        <v>1.0999999999999999E-2</v>
      </c>
    </row>
    <row r="29" spans="1:7" x14ac:dyDescent="0.35">
      <c r="B29" s="389" t="s">
        <v>28</v>
      </c>
      <c r="C29" s="505">
        <f>directN2O_1!C48</f>
        <v>84</v>
      </c>
      <c r="D29" s="159">
        <v>0</v>
      </c>
      <c r="E29" s="465">
        <f>(Results!$K$69*1/10)*1000</f>
        <v>0</v>
      </c>
      <c r="F29" s="159">
        <v>0.24</v>
      </c>
      <c r="G29" s="466">
        <v>1.0999999999999999E-2</v>
      </c>
    </row>
    <row r="30" spans="1:7" x14ac:dyDescent="0.35">
      <c r="B30" s="389" t="s">
        <v>29</v>
      </c>
      <c r="C30" s="505">
        <f>directN2O_1!C49</f>
        <v>100</v>
      </c>
      <c r="D30" s="159">
        <v>0</v>
      </c>
      <c r="E30" s="465">
        <f>(Results!$K$69*1/10)*1000</f>
        <v>0</v>
      </c>
      <c r="F30" s="159">
        <v>0.24</v>
      </c>
      <c r="G30" s="466">
        <v>1.0999999999999999E-2</v>
      </c>
    </row>
    <row r="31" spans="1:7" x14ac:dyDescent="0.35">
      <c r="B31" s="390" t="s">
        <v>30</v>
      </c>
      <c r="C31" s="506">
        <f>directN2O_1!C50</f>
        <v>120</v>
      </c>
      <c r="D31" s="399">
        <v>0</v>
      </c>
      <c r="E31" s="507">
        <f>(Results!$K$69*1/10)*1000</f>
        <v>0</v>
      </c>
      <c r="F31" s="399">
        <v>0.24</v>
      </c>
      <c r="G31" s="478">
        <v>1.0999999999999999E-2</v>
      </c>
    </row>
  </sheetData>
  <mergeCells count="6">
    <mergeCell ref="A8:A11"/>
    <mergeCell ref="B3:G3"/>
    <mergeCell ref="B4:G4"/>
    <mergeCell ref="B5:G5"/>
    <mergeCell ref="B6:G6"/>
    <mergeCell ref="B7:G7"/>
  </mergeCells>
  <pageMargins left="1.25" right="1.25" top="1" bottom="1" header="0.25" footer="0.25"/>
  <pageSetup orientation="portrait"/>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B2:N110"/>
  <sheetViews>
    <sheetView workbookViewId="0">
      <selection activeCell="A104" sqref="A104"/>
    </sheetView>
  </sheetViews>
  <sheetFormatPr defaultColWidth="8.81640625" defaultRowHeight="14" x14ac:dyDescent="0.3"/>
  <cols>
    <col min="1" max="1" width="8.81640625" style="30"/>
    <col min="2" max="2" width="28.1796875" style="30" bestFit="1" customWidth="1"/>
    <col min="3" max="3" width="17" style="32" customWidth="1"/>
    <col min="4" max="4" width="29.453125" style="30" bestFit="1" customWidth="1"/>
    <col min="5" max="5" width="36.54296875" style="30" bestFit="1" customWidth="1"/>
    <col min="6" max="6" width="30.453125" style="30" bestFit="1" customWidth="1"/>
    <col min="7" max="7" width="20.54296875" style="32" bestFit="1" customWidth="1"/>
    <col min="8" max="8" width="28.54296875" style="32" customWidth="1"/>
    <col min="9" max="10" width="8.81640625" style="30"/>
    <col min="11" max="11" width="28.1796875" style="30" bestFit="1" customWidth="1"/>
    <col min="12" max="12" width="8.81640625" style="30"/>
    <col min="13" max="13" width="13.1796875" style="30" bestFit="1" customWidth="1"/>
    <col min="14" max="14" width="14.81640625" style="31" bestFit="1" customWidth="1"/>
    <col min="15" max="16384" width="8.81640625" style="30"/>
  </cols>
  <sheetData>
    <row r="2" spans="2:14" x14ac:dyDescent="0.3">
      <c r="B2" s="37" t="s">
        <v>457</v>
      </c>
      <c r="C2" s="38" t="s">
        <v>458</v>
      </c>
      <c r="D2" s="60" t="s">
        <v>459</v>
      </c>
      <c r="E2" s="60" t="s">
        <v>117</v>
      </c>
      <c r="F2" s="34"/>
      <c r="G2" s="35"/>
      <c r="H2" s="35"/>
      <c r="I2" s="34"/>
      <c r="J2" s="34"/>
      <c r="K2" s="34"/>
      <c r="L2" s="34"/>
      <c r="M2" s="34"/>
      <c r="N2" s="33"/>
    </row>
    <row r="3" spans="2:14" x14ac:dyDescent="0.3">
      <c r="B3" s="56" t="s">
        <v>460</v>
      </c>
      <c r="C3" s="59">
        <v>75</v>
      </c>
      <c r="D3" s="56"/>
      <c r="E3" s="56"/>
      <c r="F3" s="34"/>
      <c r="G3" s="35"/>
      <c r="H3" s="35"/>
      <c r="I3" s="34"/>
      <c r="J3" s="34"/>
      <c r="K3" s="34"/>
      <c r="L3" s="34"/>
      <c r="M3" s="34"/>
      <c r="N3" s="33"/>
    </row>
    <row r="4" spans="2:14" x14ac:dyDescent="0.3">
      <c r="B4" s="56" t="s">
        <v>229</v>
      </c>
      <c r="C4" s="59">
        <v>200</v>
      </c>
      <c r="D4" s="56"/>
      <c r="E4" s="56"/>
      <c r="F4" s="34"/>
      <c r="G4" s="35"/>
      <c r="H4" s="35"/>
      <c r="I4" s="34"/>
      <c r="J4" s="34"/>
      <c r="K4" s="34"/>
      <c r="L4" s="34"/>
      <c r="M4" s="34"/>
      <c r="N4" s="33"/>
    </row>
    <row r="5" spans="2:14" x14ac:dyDescent="0.3">
      <c r="B5" s="56" t="s">
        <v>219</v>
      </c>
      <c r="C5" s="58">
        <v>200</v>
      </c>
      <c r="D5" s="56"/>
      <c r="E5" s="56" t="s">
        <v>461</v>
      </c>
      <c r="F5" s="34"/>
      <c r="G5" s="35"/>
      <c r="H5" s="35"/>
      <c r="I5" s="34"/>
      <c r="J5" s="34"/>
      <c r="K5" s="34"/>
      <c r="L5" s="34"/>
      <c r="M5" s="34"/>
      <c r="N5" s="33"/>
    </row>
    <row r="6" spans="2:14" x14ac:dyDescent="0.3">
      <c r="B6" s="56" t="s">
        <v>189</v>
      </c>
      <c r="C6" s="58">
        <v>142</v>
      </c>
      <c r="D6" s="56" t="s">
        <v>462</v>
      </c>
      <c r="E6" s="56" t="s">
        <v>461</v>
      </c>
      <c r="F6" s="34"/>
      <c r="G6" s="35"/>
      <c r="H6" s="35"/>
      <c r="I6" s="34"/>
      <c r="J6" s="34"/>
      <c r="K6" s="34"/>
      <c r="L6" s="34"/>
      <c r="M6" s="34"/>
      <c r="N6" s="33"/>
    </row>
    <row r="7" spans="2:14" x14ac:dyDescent="0.3">
      <c r="B7" s="56" t="s">
        <v>193</v>
      </c>
      <c r="C7" s="57">
        <f>C3</f>
        <v>75</v>
      </c>
      <c r="D7" s="56"/>
      <c r="E7" s="56"/>
      <c r="F7" s="34"/>
      <c r="G7" s="35"/>
      <c r="H7" s="35"/>
      <c r="I7" s="34"/>
      <c r="J7" s="34"/>
      <c r="K7" s="34"/>
      <c r="L7" s="34"/>
      <c r="M7" s="34"/>
      <c r="N7" s="33"/>
    </row>
    <row r="8" spans="2:14" x14ac:dyDescent="0.3">
      <c r="B8" s="56" t="s">
        <v>210</v>
      </c>
      <c r="C8" s="57">
        <f>C3</f>
        <v>75</v>
      </c>
      <c r="D8" s="56"/>
      <c r="E8" s="56"/>
      <c r="F8" s="34"/>
      <c r="G8" s="35"/>
      <c r="H8" s="35"/>
      <c r="I8" s="34"/>
      <c r="J8" s="34"/>
      <c r="K8" s="34"/>
      <c r="L8" s="34"/>
      <c r="M8" s="34"/>
      <c r="N8" s="33"/>
    </row>
    <row r="9" spans="2:14" x14ac:dyDescent="0.3">
      <c r="B9" s="56" t="s">
        <v>195</v>
      </c>
      <c r="C9" s="57">
        <f>C4</f>
        <v>200</v>
      </c>
      <c r="D9" s="56"/>
      <c r="E9" s="56"/>
      <c r="F9" s="34"/>
      <c r="G9" s="35"/>
      <c r="H9" s="35"/>
      <c r="I9" s="52"/>
      <c r="J9" s="34"/>
      <c r="K9" s="34"/>
      <c r="L9" s="34"/>
      <c r="M9" s="34"/>
      <c r="N9" s="33"/>
    </row>
    <row r="10" spans="2:14" x14ac:dyDescent="0.3">
      <c r="B10" s="56" t="s">
        <v>191</v>
      </c>
      <c r="C10" s="58">
        <v>167</v>
      </c>
      <c r="D10" s="56"/>
      <c r="E10" s="56" t="s">
        <v>461</v>
      </c>
      <c r="F10" s="34"/>
      <c r="G10" s="35"/>
      <c r="H10" s="35"/>
      <c r="I10" s="34"/>
      <c r="J10" s="34"/>
      <c r="K10" s="34"/>
      <c r="L10" s="34"/>
      <c r="M10" s="34"/>
      <c r="N10" s="33"/>
    </row>
    <row r="11" spans="2:14" x14ac:dyDescent="0.3">
      <c r="B11" s="56" t="s">
        <v>197</v>
      </c>
      <c r="C11" s="57">
        <f>C4</f>
        <v>200</v>
      </c>
      <c r="D11" s="56"/>
      <c r="E11" s="56"/>
      <c r="F11" s="34"/>
      <c r="G11" s="35"/>
      <c r="H11" s="35"/>
      <c r="I11" s="34"/>
      <c r="J11" s="34"/>
      <c r="K11" s="34"/>
      <c r="L11" s="34"/>
      <c r="M11" s="34"/>
      <c r="N11" s="33"/>
    </row>
    <row r="12" spans="2:14" x14ac:dyDescent="0.3">
      <c r="B12" s="56" t="s">
        <v>463</v>
      </c>
      <c r="C12" s="57">
        <f>C5</f>
        <v>200</v>
      </c>
      <c r="D12" s="56"/>
      <c r="E12" s="56"/>
      <c r="F12" s="34"/>
      <c r="G12" s="35"/>
      <c r="H12" s="35"/>
      <c r="I12" s="34"/>
      <c r="J12" s="34"/>
      <c r="K12" s="34"/>
      <c r="L12" s="34"/>
      <c r="M12" s="34"/>
      <c r="N12" s="33"/>
    </row>
    <row r="13" spans="2:14" x14ac:dyDescent="0.3">
      <c r="B13" s="56" t="s">
        <v>222</v>
      </c>
      <c r="C13" s="58">
        <v>200</v>
      </c>
      <c r="D13" s="56"/>
      <c r="E13" s="56" t="s">
        <v>461</v>
      </c>
      <c r="F13" s="34"/>
      <c r="G13" s="35"/>
      <c r="H13" s="35"/>
      <c r="I13" s="34"/>
      <c r="J13" s="34"/>
      <c r="K13" s="34"/>
      <c r="L13" s="34"/>
      <c r="M13" s="34"/>
      <c r="N13" s="33"/>
    </row>
    <row r="14" spans="2:14" x14ac:dyDescent="0.3">
      <c r="B14" s="56" t="s">
        <v>193</v>
      </c>
      <c r="C14" s="57">
        <f>C3</f>
        <v>75</v>
      </c>
      <c r="D14" s="56"/>
      <c r="E14" s="56"/>
      <c r="F14" s="34"/>
      <c r="G14" s="35"/>
      <c r="H14" s="35"/>
      <c r="I14" s="34"/>
      <c r="J14" s="34"/>
      <c r="K14" s="34"/>
      <c r="L14" s="34"/>
      <c r="M14" s="34"/>
      <c r="N14" s="33"/>
    </row>
    <row r="15" spans="2:14" x14ac:dyDescent="0.3">
      <c r="B15" s="56" t="s">
        <v>199</v>
      </c>
      <c r="C15" s="58">
        <v>179</v>
      </c>
      <c r="D15" s="56"/>
      <c r="E15" s="56" t="s">
        <v>464</v>
      </c>
      <c r="F15" s="34"/>
      <c r="G15" s="35"/>
      <c r="H15" s="35"/>
      <c r="I15" s="34"/>
      <c r="J15" s="34"/>
      <c r="K15" s="34"/>
      <c r="L15" s="34"/>
      <c r="M15" s="34"/>
      <c r="N15" s="33"/>
    </row>
    <row r="16" spans="2:14" x14ac:dyDescent="0.3">
      <c r="B16" s="56" t="s">
        <v>465</v>
      </c>
      <c r="C16" s="58">
        <v>60</v>
      </c>
      <c r="D16" s="56"/>
      <c r="E16" s="56" t="s">
        <v>461</v>
      </c>
      <c r="F16" s="34"/>
      <c r="G16" s="35"/>
      <c r="H16" s="35"/>
      <c r="I16" s="34"/>
      <c r="J16" s="34"/>
      <c r="K16" s="34"/>
      <c r="L16" s="34"/>
      <c r="M16" s="34"/>
      <c r="N16" s="33"/>
    </row>
    <row r="17" spans="2:14" x14ac:dyDescent="0.3">
      <c r="B17" s="56" t="s">
        <v>466</v>
      </c>
      <c r="C17" s="57">
        <f>C3</f>
        <v>75</v>
      </c>
      <c r="D17" s="56"/>
      <c r="E17" s="56"/>
      <c r="F17" s="34"/>
      <c r="G17" s="35"/>
      <c r="H17" s="35"/>
      <c r="I17" s="34"/>
      <c r="J17" s="34"/>
      <c r="K17" s="34"/>
      <c r="L17" s="34"/>
      <c r="M17" s="34"/>
      <c r="N17" s="33"/>
    </row>
    <row r="18" spans="2:14" x14ac:dyDescent="0.3">
      <c r="B18" s="56" t="s">
        <v>203</v>
      </c>
      <c r="C18" s="58">
        <v>150</v>
      </c>
      <c r="D18" s="56"/>
      <c r="E18" s="56" t="s">
        <v>461</v>
      </c>
      <c r="F18" s="34"/>
      <c r="G18" s="35"/>
      <c r="H18" s="35"/>
      <c r="I18" s="34"/>
      <c r="J18" s="34"/>
      <c r="K18" s="34"/>
      <c r="L18" s="34"/>
      <c r="M18" s="34"/>
      <c r="N18" s="33"/>
    </row>
    <row r="19" spans="2:14" x14ac:dyDescent="0.3">
      <c r="B19" s="56" t="s">
        <v>213</v>
      </c>
      <c r="C19" s="58">
        <v>585</v>
      </c>
      <c r="D19" s="56"/>
      <c r="E19" s="56" t="s">
        <v>467</v>
      </c>
      <c r="F19" s="34"/>
      <c r="G19" s="35"/>
      <c r="H19" s="35"/>
      <c r="I19" s="34"/>
      <c r="J19" s="34"/>
      <c r="K19" s="34"/>
      <c r="L19" s="34"/>
      <c r="M19" s="34"/>
      <c r="N19" s="33"/>
    </row>
    <row r="20" spans="2:14" x14ac:dyDescent="0.3">
      <c r="B20" s="56" t="s">
        <v>216</v>
      </c>
      <c r="C20" s="58">
        <v>370</v>
      </c>
      <c r="D20" s="56"/>
      <c r="E20" s="56" t="s">
        <v>461</v>
      </c>
      <c r="F20" s="34"/>
      <c r="G20" s="35"/>
      <c r="H20" s="35"/>
      <c r="I20" s="34"/>
      <c r="J20" s="34"/>
      <c r="K20" s="34"/>
      <c r="L20" s="34"/>
      <c r="M20" s="34"/>
      <c r="N20" s="33"/>
    </row>
    <row r="21" spans="2:14" x14ac:dyDescent="0.3">
      <c r="B21" s="56" t="s">
        <v>224</v>
      </c>
      <c r="C21" s="58">
        <v>69</v>
      </c>
      <c r="D21" s="56"/>
      <c r="E21" s="56" t="s">
        <v>461</v>
      </c>
      <c r="F21" s="34"/>
      <c r="G21" s="35"/>
      <c r="H21" s="35"/>
      <c r="I21" s="34"/>
      <c r="J21" s="34"/>
      <c r="K21" s="34"/>
      <c r="L21" s="34"/>
      <c r="M21" s="34"/>
      <c r="N21" s="33"/>
    </row>
    <row r="22" spans="2:14" x14ac:dyDescent="0.3">
      <c r="B22" s="56" t="s">
        <v>207</v>
      </c>
      <c r="C22" s="57">
        <f>C3</f>
        <v>75</v>
      </c>
      <c r="D22" s="56"/>
      <c r="E22" s="56"/>
      <c r="F22" s="34"/>
      <c r="G22" s="35"/>
      <c r="H22" s="35"/>
      <c r="I22" s="34"/>
      <c r="J22" s="34"/>
      <c r="K22" s="34"/>
      <c r="L22" s="34"/>
      <c r="M22" s="34"/>
      <c r="N22" s="33"/>
    </row>
    <row r="23" spans="2:14" x14ac:dyDescent="0.3">
      <c r="B23" s="54" t="s">
        <v>205</v>
      </c>
      <c r="C23" s="55">
        <f>C3</f>
        <v>75</v>
      </c>
      <c r="D23" s="54"/>
      <c r="E23" s="54"/>
      <c r="F23" s="34"/>
      <c r="G23" s="35"/>
      <c r="H23" s="35"/>
      <c r="I23" s="34"/>
      <c r="J23" s="34"/>
      <c r="K23" s="34"/>
      <c r="L23" s="34"/>
      <c r="M23" s="34"/>
      <c r="N23" s="33"/>
    </row>
    <row r="24" spans="2:14" x14ac:dyDescent="0.3">
      <c r="B24" s="34"/>
      <c r="C24" s="35"/>
      <c r="D24" s="34"/>
      <c r="E24" s="34"/>
      <c r="F24" s="34"/>
      <c r="G24" s="35"/>
      <c r="H24" s="35"/>
      <c r="I24" s="34"/>
      <c r="J24" s="34"/>
      <c r="K24" s="34"/>
      <c r="L24" s="34"/>
      <c r="M24" s="34"/>
      <c r="N24" s="33"/>
    </row>
    <row r="25" spans="2:14" x14ac:dyDescent="0.3">
      <c r="B25" s="34"/>
      <c r="C25" s="35"/>
      <c r="D25" s="34"/>
      <c r="E25" s="34"/>
      <c r="F25" s="34"/>
      <c r="G25" s="35"/>
      <c r="H25" s="35"/>
      <c r="I25" s="34"/>
      <c r="J25" s="34"/>
      <c r="K25" s="34"/>
      <c r="L25" s="34"/>
      <c r="M25" s="34"/>
      <c r="N25" s="33"/>
    </row>
    <row r="26" spans="2:14" x14ac:dyDescent="0.3">
      <c r="B26" s="34"/>
      <c r="C26" s="35"/>
      <c r="D26" s="34"/>
      <c r="E26" s="34"/>
      <c r="F26" s="34"/>
      <c r="G26" s="35"/>
      <c r="H26" s="35"/>
      <c r="I26" s="34"/>
      <c r="J26" s="34"/>
      <c r="K26" s="34"/>
      <c r="L26" s="34"/>
      <c r="M26" s="34"/>
      <c r="N26" s="33"/>
    </row>
    <row r="27" spans="2:14" x14ac:dyDescent="0.3">
      <c r="B27" s="34"/>
      <c r="C27" s="35"/>
      <c r="D27" s="34"/>
      <c r="E27" s="34"/>
      <c r="F27" s="34"/>
      <c r="G27" s="35"/>
      <c r="H27" s="35"/>
      <c r="I27" s="34"/>
      <c r="J27" s="34"/>
      <c r="K27" s="34"/>
      <c r="L27" s="34"/>
      <c r="M27" s="34"/>
      <c r="N27" s="33"/>
    </row>
    <row r="28" spans="2:14" x14ac:dyDescent="0.3">
      <c r="B28" s="37" t="s">
        <v>173</v>
      </c>
      <c r="C28" s="38" t="s">
        <v>468</v>
      </c>
      <c r="D28" s="38" t="s">
        <v>117</v>
      </c>
      <c r="G28" s="30"/>
      <c r="H28" s="30"/>
      <c r="K28" s="34"/>
      <c r="L28" s="34"/>
      <c r="M28" s="34"/>
      <c r="N28" s="33"/>
    </row>
    <row r="29" spans="2:14" x14ac:dyDescent="0.3">
      <c r="B29" s="43" t="s">
        <v>188</v>
      </c>
      <c r="C29" s="53">
        <v>21.8</v>
      </c>
      <c r="D29" s="49" t="s">
        <v>469</v>
      </c>
      <c r="G29" s="30"/>
      <c r="H29" s="30"/>
      <c r="K29" s="34"/>
      <c r="L29" s="34"/>
      <c r="M29" s="34"/>
      <c r="N29" s="33"/>
    </row>
    <row r="30" spans="2:14" x14ac:dyDescent="0.3">
      <c r="B30" s="43" t="s">
        <v>218</v>
      </c>
      <c r="C30" s="50">
        <v>20</v>
      </c>
      <c r="D30" s="49" t="s">
        <v>470</v>
      </c>
      <c r="G30" s="30"/>
      <c r="H30" s="30"/>
      <c r="K30" s="34"/>
      <c r="L30" s="34"/>
      <c r="M30" s="34"/>
      <c r="N30" s="33"/>
    </row>
    <row r="31" spans="2:14" x14ac:dyDescent="0.3">
      <c r="B31" s="43" t="s">
        <v>471</v>
      </c>
      <c r="C31" s="50">
        <v>12.7</v>
      </c>
      <c r="D31" s="49" t="s">
        <v>469</v>
      </c>
      <c r="G31" s="30"/>
      <c r="H31" s="30"/>
      <c r="K31" s="34"/>
      <c r="L31" s="34"/>
      <c r="M31" s="34"/>
      <c r="N31" s="33"/>
    </row>
    <row r="32" spans="2:14" x14ac:dyDescent="0.3">
      <c r="B32" s="43" t="s">
        <v>194</v>
      </c>
      <c r="C32" s="50">
        <v>10</v>
      </c>
      <c r="D32" s="49" t="s">
        <v>469</v>
      </c>
      <c r="G32" s="30"/>
      <c r="H32" s="30"/>
      <c r="K32" s="34"/>
      <c r="L32" s="34"/>
      <c r="M32" s="34"/>
      <c r="N32" s="33"/>
    </row>
    <row r="33" spans="2:14" x14ac:dyDescent="0.3">
      <c r="B33" s="43" t="s">
        <v>190</v>
      </c>
      <c r="C33" s="50">
        <v>12.7</v>
      </c>
      <c r="D33" s="49" t="s">
        <v>469</v>
      </c>
      <c r="G33" s="30"/>
      <c r="H33" s="30"/>
      <c r="K33" s="34"/>
      <c r="L33" s="34"/>
      <c r="M33" s="34"/>
      <c r="N33" s="33"/>
    </row>
    <row r="34" spans="2:14" x14ac:dyDescent="0.3">
      <c r="B34" s="43" t="s">
        <v>472</v>
      </c>
      <c r="C34" s="50">
        <v>5</v>
      </c>
      <c r="D34" s="49" t="s">
        <v>470</v>
      </c>
      <c r="G34" s="30"/>
      <c r="H34" s="30"/>
      <c r="K34" s="34"/>
      <c r="L34" s="34"/>
      <c r="M34" s="34"/>
      <c r="N34" s="33"/>
    </row>
    <row r="35" spans="2:14" x14ac:dyDescent="0.3">
      <c r="B35" s="43" t="s">
        <v>209</v>
      </c>
      <c r="C35" s="51">
        <v>11</v>
      </c>
      <c r="D35" s="49" t="s">
        <v>470</v>
      </c>
      <c r="G35" s="30"/>
      <c r="H35" s="30"/>
      <c r="K35" s="34"/>
      <c r="L35" s="34"/>
      <c r="M35" s="34"/>
      <c r="N35" s="33"/>
    </row>
    <row r="36" spans="2:14" x14ac:dyDescent="0.3">
      <c r="B36" s="43" t="s">
        <v>192</v>
      </c>
      <c r="C36" s="50">
        <v>3.5</v>
      </c>
      <c r="D36" s="49" t="s">
        <v>470</v>
      </c>
      <c r="G36" s="30"/>
      <c r="H36" s="30"/>
      <c r="K36" s="34"/>
      <c r="L36" s="34"/>
      <c r="M36" s="34"/>
      <c r="N36" s="33"/>
    </row>
    <row r="37" spans="2:14" x14ac:dyDescent="0.3">
      <c r="B37" s="43" t="s">
        <v>196</v>
      </c>
      <c r="C37" s="50">
        <v>5</v>
      </c>
      <c r="D37" s="49" t="s">
        <v>470</v>
      </c>
      <c r="G37" s="30"/>
      <c r="H37" s="30"/>
      <c r="K37" s="34"/>
      <c r="L37" s="34"/>
      <c r="M37" s="34"/>
      <c r="N37" s="33"/>
    </row>
    <row r="38" spans="2:14" x14ac:dyDescent="0.3">
      <c r="B38" s="43" t="s">
        <v>473</v>
      </c>
      <c r="C38" s="50">
        <v>9</v>
      </c>
      <c r="D38" s="49" t="s">
        <v>470</v>
      </c>
      <c r="G38" s="30"/>
      <c r="H38" s="30"/>
      <c r="K38" s="34"/>
      <c r="L38" s="34"/>
      <c r="M38" s="34"/>
      <c r="N38" s="33"/>
    </row>
    <row r="39" spans="2:14" x14ac:dyDescent="0.3">
      <c r="B39" s="43" t="s">
        <v>221</v>
      </c>
      <c r="C39" s="50">
        <v>20</v>
      </c>
      <c r="D39" s="49" t="s">
        <v>470</v>
      </c>
      <c r="G39" s="30"/>
      <c r="H39" s="30"/>
      <c r="K39" s="34"/>
      <c r="L39" s="34"/>
      <c r="M39" s="34"/>
      <c r="N39" s="33"/>
    </row>
    <row r="40" spans="2:14" x14ac:dyDescent="0.3">
      <c r="B40" s="43" t="s">
        <v>200</v>
      </c>
      <c r="C40" s="50">
        <v>2.2000000000000002</v>
      </c>
      <c r="D40" s="49" t="s">
        <v>469</v>
      </c>
      <c r="G40" s="30"/>
      <c r="H40" s="30"/>
      <c r="K40" s="34"/>
      <c r="L40" s="34"/>
      <c r="M40" s="34"/>
      <c r="N40" s="33"/>
    </row>
    <row r="41" spans="2:14" x14ac:dyDescent="0.3">
      <c r="B41" s="43" t="s">
        <v>198</v>
      </c>
      <c r="C41" s="50">
        <v>2</v>
      </c>
      <c r="D41" s="49" t="s">
        <v>469</v>
      </c>
      <c r="G41" s="30"/>
      <c r="H41" s="30"/>
      <c r="K41" s="34"/>
      <c r="L41" s="34"/>
      <c r="M41" s="34"/>
      <c r="N41" s="33"/>
    </row>
    <row r="42" spans="2:14" x14ac:dyDescent="0.3">
      <c r="B42" s="43" t="s">
        <v>474</v>
      </c>
      <c r="C42" s="50">
        <v>2.5</v>
      </c>
      <c r="D42" s="49" t="s">
        <v>470</v>
      </c>
      <c r="G42" s="30"/>
      <c r="H42" s="30"/>
      <c r="K42" s="34"/>
      <c r="L42" s="34"/>
      <c r="M42" s="34"/>
      <c r="N42" s="33"/>
    </row>
    <row r="43" spans="2:14" x14ac:dyDescent="0.3">
      <c r="B43" s="43" t="s">
        <v>475</v>
      </c>
      <c r="C43" s="50">
        <v>19.600000000000001</v>
      </c>
      <c r="D43" s="49" t="s">
        <v>469</v>
      </c>
      <c r="G43" s="30"/>
      <c r="H43" s="30"/>
      <c r="K43" s="34"/>
      <c r="L43" s="34"/>
      <c r="M43" s="34"/>
      <c r="N43" s="33"/>
    </row>
    <row r="44" spans="2:14" x14ac:dyDescent="0.3">
      <c r="B44" s="43" t="s">
        <v>211</v>
      </c>
      <c r="C44" s="50">
        <v>22</v>
      </c>
      <c r="D44" s="49" t="s">
        <v>469</v>
      </c>
      <c r="G44" s="30"/>
      <c r="H44" s="30"/>
      <c r="K44" s="34"/>
      <c r="L44" s="34"/>
      <c r="M44" s="34"/>
      <c r="N44" s="33"/>
    </row>
    <row r="45" spans="2:14" x14ac:dyDescent="0.3">
      <c r="B45" s="43" t="s">
        <v>212</v>
      </c>
      <c r="C45" s="50">
        <v>49</v>
      </c>
      <c r="D45" s="49" t="s">
        <v>470</v>
      </c>
      <c r="G45" s="30"/>
      <c r="H45" s="30"/>
      <c r="K45" s="34"/>
      <c r="L45" s="34"/>
      <c r="M45" s="34"/>
      <c r="N45" s="33"/>
    </row>
    <row r="46" spans="2:14" x14ac:dyDescent="0.3">
      <c r="B46" s="43" t="s">
        <v>202</v>
      </c>
      <c r="C46" s="51">
        <v>19.600000000000001</v>
      </c>
      <c r="D46" s="49" t="s">
        <v>469</v>
      </c>
      <c r="G46" s="30"/>
      <c r="H46" s="30"/>
      <c r="K46" s="34"/>
      <c r="L46" s="34"/>
      <c r="M46" s="34"/>
      <c r="N46" s="33"/>
    </row>
    <row r="47" spans="2:14" x14ac:dyDescent="0.3">
      <c r="B47" s="43" t="s">
        <v>215</v>
      </c>
      <c r="C47" s="50">
        <v>34</v>
      </c>
      <c r="D47" s="49" t="s">
        <v>470</v>
      </c>
      <c r="G47" s="30"/>
      <c r="H47" s="30"/>
      <c r="K47" s="34"/>
      <c r="L47" s="34"/>
      <c r="M47" s="34"/>
      <c r="N47" s="33"/>
    </row>
    <row r="48" spans="2:14" x14ac:dyDescent="0.3">
      <c r="B48" s="43" t="s">
        <v>223</v>
      </c>
      <c r="C48" s="50">
        <v>5</v>
      </c>
      <c r="D48" s="49" t="s">
        <v>470</v>
      </c>
      <c r="G48" s="30"/>
      <c r="H48" s="30"/>
      <c r="K48" s="34"/>
      <c r="L48" s="34"/>
      <c r="M48" s="34"/>
      <c r="N48" s="33"/>
    </row>
    <row r="49" spans="2:14" x14ac:dyDescent="0.3">
      <c r="B49" s="43" t="s">
        <v>204</v>
      </c>
      <c r="C49" s="50">
        <v>0.5</v>
      </c>
      <c r="D49" s="49" t="s">
        <v>470</v>
      </c>
      <c r="F49" s="34"/>
      <c r="G49" s="34"/>
      <c r="H49" s="35"/>
      <c r="I49" s="34"/>
      <c r="J49" s="34"/>
      <c r="K49" s="34"/>
      <c r="L49" s="34"/>
      <c r="M49" s="34"/>
      <c r="N49" s="33"/>
    </row>
    <row r="50" spans="2:14" x14ac:dyDescent="0.3">
      <c r="B50" s="43" t="s">
        <v>476</v>
      </c>
      <c r="C50" s="50">
        <v>0.7</v>
      </c>
      <c r="D50" s="49" t="s">
        <v>470</v>
      </c>
      <c r="F50" s="34"/>
      <c r="G50" s="34"/>
      <c r="H50" s="35"/>
      <c r="I50" s="34"/>
      <c r="J50" s="34"/>
      <c r="K50" s="34"/>
      <c r="L50" s="34"/>
      <c r="M50" s="34"/>
      <c r="N50" s="33"/>
    </row>
    <row r="51" spans="2:14" x14ac:dyDescent="0.3">
      <c r="B51" s="54" t="s">
        <v>206</v>
      </c>
      <c r="C51" s="203">
        <v>4.5</v>
      </c>
      <c r="D51" s="48" t="s">
        <v>469</v>
      </c>
      <c r="E51" s="34"/>
      <c r="F51" s="34"/>
      <c r="G51" s="35"/>
      <c r="H51" s="35"/>
      <c r="I51" s="34"/>
      <c r="J51" s="34"/>
      <c r="K51" s="34"/>
      <c r="L51" s="34"/>
      <c r="M51" s="34"/>
      <c r="N51" s="33"/>
    </row>
    <row r="52" spans="2:14" x14ac:dyDescent="0.3">
      <c r="B52" s="34"/>
      <c r="C52" s="35"/>
      <c r="D52" s="34"/>
      <c r="E52" s="34"/>
      <c r="F52" s="34"/>
      <c r="G52" s="35"/>
      <c r="H52" s="35"/>
      <c r="I52" s="34"/>
      <c r="J52" s="34"/>
      <c r="K52" s="34"/>
      <c r="L52" s="34"/>
      <c r="M52" s="34"/>
      <c r="N52" s="33"/>
    </row>
    <row r="53" spans="2:14" x14ac:dyDescent="0.3">
      <c r="C53" s="209" t="s">
        <v>117</v>
      </c>
      <c r="D53" s="60" t="s">
        <v>461</v>
      </c>
      <c r="E53" s="60" t="s">
        <v>461</v>
      </c>
    </row>
    <row r="54" spans="2:14" x14ac:dyDescent="0.3">
      <c r="B54" s="37" t="s">
        <v>369</v>
      </c>
      <c r="C54" s="37" t="s">
        <v>477</v>
      </c>
      <c r="D54" s="38" t="s">
        <v>181</v>
      </c>
      <c r="E54" s="202" t="s">
        <v>478</v>
      </c>
      <c r="F54" s="34"/>
    </row>
    <row r="55" spans="2:14" x14ac:dyDescent="0.3">
      <c r="B55" s="60" t="s">
        <v>479</v>
      </c>
      <c r="C55" s="60" t="s">
        <v>188</v>
      </c>
      <c r="D55" s="207">
        <v>1.2</v>
      </c>
      <c r="E55" s="60">
        <v>1.1000000000000001</v>
      </c>
      <c r="F55" s="34"/>
    </row>
    <row r="56" spans="2:14" x14ac:dyDescent="0.3">
      <c r="B56" s="56"/>
      <c r="C56" s="56" t="s">
        <v>194</v>
      </c>
      <c r="D56" s="53">
        <v>1.5</v>
      </c>
      <c r="E56" s="56">
        <v>2.9</v>
      </c>
      <c r="F56" s="34"/>
    </row>
    <row r="57" spans="2:14" x14ac:dyDescent="0.3">
      <c r="B57" s="56"/>
      <c r="C57" s="56" t="s">
        <v>190</v>
      </c>
      <c r="D57" s="53">
        <v>0.6</v>
      </c>
      <c r="E57" s="56">
        <v>2</v>
      </c>
      <c r="F57" s="34"/>
    </row>
    <row r="58" spans="2:14" x14ac:dyDescent="0.3">
      <c r="B58" s="56"/>
      <c r="C58" s="56" t="s">
        <v>192</v>
      </c>
      <c r="D58" s="53">
        <v>1</v>
      </c>
      <c r="E58" s="56">
        <v>2.8</v>
      </c>
      <c r="F58" s="34"/>
    </row>
    <row r="59" spans="2:14" x14ac:dyDescent="0.3">
      <c r="B59" s="56"/>
      <c r="C59" s="56" t="s">
        <v>196</v>
      </c>
      <c r="D59" s="53">
        <v>1</v>
      </c>
      <c r="E59" s="56">
        <v>4.0999999999999996</v>
      </c>
      <c r="F59" s="34"/>
    </row>
    <row r="60" spans="2:14" x14ac:dyDescent="0.3">
      <c r="B60" s="56"/>
      <c r="C60" s="56" t="s">
        <v>198</v>
      </c>
      <c r="D60" s="53">
        <v>5.2</v>
      </c>
      <c r="E60" s="56">
        <v>7.6</v>
      </c>
      <c r="F60" s="34"/>
    </row>
    <row r="61" spans="2:14" x14ac:dyDescent="0.3">
      <c r="B61" s="56"/>
      <c r="C61" s="56" t="s">
        <v>200</v>
      </c>
      <c r="D61" s="53">
        <v>0.6</v>
      </c>
      <c r="E61" s="56">
        <v>7.6</v>
      </c>
      <c r="F61" s="34"/>
    </row>
    <row r="62" spans="2:14" x14ac:dyDescent="0.3">
      <c r="B62" s="56"/>
      <c r="C62" s="56" t="s">
        <v>202</v>
      </c>
      <c r="D62" s="53">
        <v>1</v>
      </c>
      <c r="E62" s="56">
        <v>1.1000000000000001</v>
      </c>
      <c r="F62" s="34"/>
    </row>
    <row r="63" spans="2:14" x14ac:dyDescent="0.3">
      <c r="B63" s="56"/>
      <c r="C63" s="56" t="s">
        <v>204</v>
      </c>
      <c r="D63" s="53">
        <v>1</v>
      </c>
      <c r="E63" s="56">
        <v>1.4</v>
      </c>
      <c r="F63" s="34"/>
    </row>
    <row r="64" spans="2:14" x14ac:dyDescent="0.3">
      <c r="B64" s="56"/>
      <c r="C64" s="56" t="s">
        <v>206</v>
      </c>
      <c r="D64" s="53">
        <v>2</v>
      </c>
      <c r="E64" s="56">
        <v>4.2</v>
      </c>
      <c r="F64" s="34"/>
    </row>
    <row r="65" spans="2:5" x14ac:dyDescent="0.3">
      <c r="B65" s="60" t="s">
        <v>12</v>
      </c>
      <c r="C65" s="60" t="s">
        <v>209</v>
      </c>
      <c r="D65" s="207">
        <v>1.3</v>
      </c>
      <c r="E65" s="207">
        <v>2.9</v>
      </c>
    </row>
    <row r="66" spans="2:5" x14ac:dyDescent="0.3">
      <c r="B66" s="204"/>
      <c r="C66" s="56" t="s">
        <v>192</v>
      </c>
      <c r="D66" s="53">
        <v>1</v>
      </c>
      <c r="E66" s="53">
        <v>2.8</v>
      </c>
    </row>
    <row r="67" spans="2:5" x14ac:dyDescent="0.3">
      <c r="B67" s="204"/>
      <c r="C67" s="56" t="s">
        <v>196</v>
      </c>
      <c r="D67" s="53">
        <v>1</v>
      </c>
      <c r="E67" s="53">
        <v>4.0999999999999996</v>
      </c>
    </row>
    <row r="68" spans="2:5" x14ac:dyDescent="0.3">
      <c r="B68" s="204"/>
      <c r="C68" s="56" t="s">
        <v>190</v>
      </c>
      <c r="D68" s="53">
        <v>0.7</v>
      </c>
      <c r="E68" s="53">
        <v>2</v>
      </c>
    </row>
    <row r="69" spans="2:5" x14ac:dyDescent="0.3">
      <c r="B69" s="204"/>
      <c r="C69" s="56" t="s">
        <v>198</v>
      </c>
      <c r="D69" s="53">
        <v>4.8</v>
      </c>
      <c r="E69" s="53">
        <v>7.6</v>
      </c>
    </row>
    <row r="70" spans="2:5" x14ac:dyDescent="0.3">
      <c r="B70" s="204"/>
      <c r="C70" s="56" t="s">
        <v>200</v>
      </c>
      <c r="D70" s="53">
        <v>0.9</v>
      </c>
      <c r="E70" s="53">
        <v>7.6</v>
      </c>
    </row>
    <row r="71" spans="2:5" x14ac:dyDescent="0.3">
      <c r="B71" s="204"/>
      <c r="C71" s="56" t="s">
        <v>211</v>
      </c>
      <c r="D71" s="53">
        <v>1</v>
      </c>
      <c r="E71" s="53">
        <v>1.1000000000000001</v>
      </c>
    </row>
    <row r="72" spans="2:5" x14ac:dyDescent="0.3">
      <c r="B72" s="204"/>
      <c r="C72" s="56" t="s">
        <v>206</v>
      </c>
      <c r="D72" s="53">
        <v>1</v>
      </c>
      <c r="E72" s="53">
        <v>3.5</v>
      </c>
    </row>
    <row r="73" spans="2:5" x14ac:dyDescent="0.3">
      <c r="B73" s="204"/>
      <c r="C73" s="56" t="s">
        <v>204</v>
      </c>
      <c r="D73" s="53">
        <v>1</v>
      </c>
      <c r="E73" s="53">
        <v>1.7</v>
      </c>
    </row>
    <row r="74" spans="2:5" x14ac:dyDescent="0.3">
      <c r="B74" s="60" t="s">
        <v>13</v>
      </c>
      <c r="C74" s="60" t="s">
        <v>188</v>
      </c>
      <c r="D74" s="207">
        <v>1.3</v>
      </c>
      <c r="E74" s="207">
        <v>1.1000000000000001</v>
      </c>
    </row>
    <row r="75" spans="2:5" x14ac:dyDescent="0.3">
      <c r="B75" s="204"/>
      <c r="C75" s="34" t="s">
        <v>209</v>
      </c>
      <c r="D75" s="53">
        <f>D56</f>
        <v>1.5</v>
      </c>
      <c r="E75" s="53">
        <f>E65</f>
        <v>2.9</v>
      </c>
    </row>
    <row r="76" spans="2:5" x14ac:dyDescent="0.3">
      <c r="B76" s="204"/>
      <c r="C76" s="34" t="s">
        <v>192</v>
      </c>
      <c r="D76" s="53">
        <f>D58</f>
        <v>1</v>
      </c>
      <c r="E76" s="53">
        <f>E58</f>
        <v>2.8</v>
      </c>
    </row>
    <row r="77" spans="2:5" x14ac:dyDescent="0.3">
      <c r="B77" s="204"/>
      <c r="C77" s="34" t="s">
        <v>196</v>
      </c>
      <c r="D77" s="53">
        <v>1</v>
      </c>
      <c r="E77" s="53">
        <v>1.3</v>
      </c>
    </row>
    <row r="78" spans="2:5" x14ac:dyDescent="0.3">
      <c r="B78" s="204"/>
      <c r="C78" s="34" t="s">
        <v>198</v>
      </c>
      <c r="D78" s="53">
        <v>11.8</v>
      </c>
      <c r="E78" s="53">
        <v>7.6</v>
      </c>
    </row>
    <row r="79" spans="2:5" x14ac:dyDescent="0.3">
      <c r="B79" s="204"/>
      <c r="C79" s="34" t="s">
        <v>200</v>
      </c>
      <c r="D79" s="53">
        <f>D61</f>
        <v>0.6</v>
      </c>
      <c r="E79" s="53">
        <v>7.6</v>
      </c>
    </row>
    <row r="80" spans="2:5" x14ac:dyDescent="0.3">
      <c r="B80" s="204"/>
      <c r="C80" s="34" t="s">
        <v>212</v>
      </c>
      <c r="D80" s="53">
        <v>1</v>
      </c>
      <c r="E80" s="53">
        <v>0.5</v>
      </c>
    </row>
    <row r="81" spans="2:5" x14ac:dyDescent="0.3">
      <c r="B81" s="204"/>
      <c r="C81" s="56" t="s">
        <v>206</v>
      </c>
      <c r="D81" s="53">
        <v>1</v>
      </c>
      <c r="E81" s="53">
        <v>12.9</v>
      </c>
    </row>
    <row r="82" spans="2:5" x14ac:dyDescent="0.3">
      <c r="B82" s="60" t="s">
        <v>14</v>
      </c>
      <c r="C82" s="60" t="s">
        <v>188</v>
      </c>
      <c r="D82" s="207">
        <v>1.3</v>
      </c>
      <c r="E82" s="207">
        <v>1.1000000000000001</v>
      </c>
    </row>
    <row r="83" spans="2:5" x14ac:dyDescent="0.3">
      <c r="B83" s="204"/>
      <c r="C83" s="56" t="s">
        <v>192</v>
      </c>
      <c r="D83" s="53">
        <v>1</v>
      </c>
      <c r="E83" s="53">
        <v>2.8</v>
      </c>
    </row>
    <row r="84" spans="2:5" x14ac:dyDescent="0.3">
      <c r="B84" s="204"/>
      <c r="C84" s="56" t="s">
        <v>209</v>
      </c>
      <c r="D84" s="53">
        <v>1.2</v>
      </c>
      <c r="E84" s="53">
        <v>2.9</v>
      </c>
    </row>
    <row r="85" spans="2:5" x14ac:dyDescent="0.3">
      <c r="B85" s="204"/>
      <c r="C85" s="56" t="s">
        <v>190</v>
      </c>
      <c r="D85" s="53">
        <v>0.9</v>
      </c>
      <c r="E85" s="53">
        <v>2</v>
      </c>
    </row>
    <row r="86" spans="2:5" x14ac:dyDescent="0.3">
      <c r="B86" s="204"/>
      <c r="C86" s="56" t="s">
        <v>196</v>
      </c>
      <c r="D86" s="53">
        <v>1</v>
      </c>
      <c r="E86" s="53">
        <v>4.0999999999999996</v>
      </c>
    </row>
    <row r="87" spans="2:5" x14ac:dyDescent="0.3">
      <c r="B87" s="204"/>
      <c r="C87" s="56" t="s">
        <v>198</v>
      </c>
      <c r="D87" s="53">
        <v>7</v>
      </c>
      <c r="E87" s="53">
        <v>7.6</v>
      </c>
    </row>
    <row r="88" spans="2:5" x14ac:dyDescent="0.3">
      <c r="B88" s="204"/>
      <c r="C88" s="56" t="s">
        <v>200</v>
      </c>
      <c r="D88" s="53">
        <v>0.3</v>
      </c>
      <c r="E88" s="53">
        <v>7.6</v>
      </c>
    </row>
    <row r="89" spans="2:5" x14ac:dyDescent="0.3">
      <c r="B89" s="204"/>
      <c r="C89" s="56" t="s">
        <v>215</v>
      </c>
      <c r="D89" s="53">
        <v>1</v>
      </c>
      <c r="E89" s="53">
        <v>1.7</v>
      </c>
    </row>
    <row r="90" spans="2:5" x14ac:dyDescent="0.3">
      <c r="B90" s="204"/>
      <c r="C90" s="56" t="s">
        <v>206</v>
      </c>
      <c r="D90" s="53">
        <v>2</v>
      </c>
      <c r="E90" s="53">
        <v>10.199999999999999</v>
      </c>
    </row>
    <row r="91" spans="2:5" x14ac:dyDescent="0.3">
      <c r="B91" s="60" t="s">
        <v>34</v>
      </c>
      <c r="C91" s="60" t="s">
        <v>198</v>
      </c>
      <c r="D91" s="207">
        <f>D60</f>
        <v>5.2</v>
      </c>
      <c r="E91" s="207">
        <f>E60</f>
        <v>7.6</v>
      </c>
    </row>
    <row r="92" spans="2:5" x14ac:dyDescent="0.3">
      <c r="B92" s="204"/>
      <c r="C92" s="56" t="s">
        <v>188</v>
      </c>
      <c r="D92" s="53">
        <v>1.3</v>
      </c>
      <c r="E92" s="53">
        <f>E82</f>
        <v>1.1000000000000001</v>
      </c>
    </row>
    <row r="93" spans="2:5" x14ac:dyDescent="0.3">
      <c r="B93" s="204"/>
      <c r="C93" s="56" t="s">
        <v>218</v>
      </c>
      <c r="D93" s="53">
        <v>0.2</v>
      </c>
      <c r="E93" s="53">
        <v>2.4</v>
      </c>
    </row>
    <row r="94" spans="2:5" x14ac:dyDescent="0.3">
      <c r="B94" s="204"/>
      <c r="C94" s="56" t="s">
        <v>190</v>
      </c>
      <c r="D94" s="53">
        <v>0.9</v>
      </c>
      <c r="E94" s="53">
        <f>E85</f>
        <v>2</v>
      </c>
    </row>
    <row r="95" spans="2:5" x14ac:dyDescent="0.3">
      <c r="B95" s="204"/>
      <c r="C95" s="56" t="s">
        <v>209</v>
      </c>
      <c r="D95" s="53">
        <f>D75</f>
        <v>1.5</v>
      </c>
      <c r="E95" s="53">
        <f>E84</f>
        <v>2.9</v>
      </c>
    </row>
    <row r="96" spans="2:5" x14ac:dyDescent="0.3">
      <c r="B96" s="204"/>
      <c r="C96" s="56" t="s">
        <v>192</v>
      </c>
      <c r="D96" s="53">
        <v>1</v>
      </c>
      <c r="E96" s="53">
        <f>E83</f>
        <v>2.8</v>
      </c>
    </row>
    <row r="97" spans="2:5" x14ac:dyDescent="0.3">
      <c r="B97" s="204"/>
      <c r="C97" s="56" t="s">
        <v>221</v>
      </c>
      <c r="D97" s="53">
        <v>1</v>
      </c>
      <c r="E97" s="53">
        <f>E77</f>
        <v>1.3</v>
      </c>
    </row>
    <row r="98" spans="2:5" x14ac:dyDescent="0.3">
      <c r="B98" s="204"/>
      <c r="C98" s="56" t="s">
        <v>196</v>
      </c>
      <c r="D98" s="53">
        <f>D86</f>
        <v>1</v>
      </c>
      <c r="E98" s="53">
        <f>E86</f>
        <v>4.0999999999999996</v>
      </c>
    </row>
    <row r="99" spans="2:5" x14ac:dyDescent="0.3">
      <c r="B99" s="204"/>
      <c r="C99" s="56" t="s">
        <v>200</v>
      </c>
      <c r="D99" s="53">
        <v>0.3</v>
      </c>
      <c r="E99" s="53">
        <f>E88</f>
        <v>7.6</v>
      </c>
    </row>
    <row r="100" spans="2:5" x14ac:dyDescent="0.3">
      <c r="B100" s="204"/>
      <c r="C100" s="56" t="s">
        <v>223</v>
      </c>
      <c r="D100" s="53">
        <v>1</v>
      </c>
      <c r="E100" s="53">
        <f>E62</f>
        <v>1.1000000000000001</v>
      </c>
    </row>
    <row r="101" spans="2:5" x14ac:dyDescent="0.3">
      <c r="B101" s="204"/>
      <c r="C101" s="211" t="s">
        <v>215</v>
      </c>
      <c r="D101" s="53">
        <v>1</v>
      </c>
      <c r="E101" s="53">
        <f>E89</f>
        <v>1.7</v>
      </c>
    </row>
    <row r="102" spans="2:5" x14ac:dyDescent="0.3">
      <c r="B102" s="205"/>
      <c r="C102" s="206" t="s">
        <v>206</v>
      </c>
      <c r="D102" s="208">
        <v>2</v>
      </c>
      <c r="E102" s="208">
        <v>10.199999999999999</v>
      </c>
    </row>
    <row r="105" spans="2:5" x14ac:dyDescent="0.3">
      <c r="B105" s="37" t="s">
        <v>480</v>
      </c>
      <c r="C105" s="37" t="s">
        <v>481</v>
      </c>
      <c r="D105" s="37" t="s">
        <v>168</v>
      </c>
      <c r="E105" s="36" t="s">
        <v>117</v>
      </c>
    </row>
    <row r="106" spans="2:5" x14ac:dyDescent="0.3">
      <c r="B106" s="46" t="s">
        <v>482</v>
      </c>
      <c r="C106" s="47">
        <f>AVERAGE(190,250)</f>
        <v>220</v>
      </c>
      <c r="D106" s="46" t="s">
        <v>483</v>
      </c>
      <c r="E106" s="45" t="s">
        <v>484</v>
      </c>
    </row>
    <row r="107" spans="2:5" x14ac:dyDescent="0.3">
      <c r="B107" s="43" t="s">
        <v>485</v>
      </c>
      <c r="C107" s="230">
        <v>0.85399999999999998</v>
      </c>
      <c r="D107" s="43" t="s">
        <v>486</v>
      </c>
      <c r="E107" s="42" t="s">
        <v>487</v>
      </c>
    </row>
    <row r="108" spans="2:5" x14ac:dyDescent="0.3">
      <c r="B108" s="43" t="s">
        <v>488</v>
      </c>
      <c r="C108" s="44">
        <f>42.6</f>
        <v>42.6</v>
      </c>
      <c r="D108" s="43" t="s">
        <v>489</v>
      </c>
      <c r="E108" s="42" t="s">
        <v>487</v>
      </c>
    </row>
    <row r="109" spans="2:5" x14ac:dyDescent="0.3">
      <c r="B109" s="41" t="s">
        <v>490</v>
      </c>
      <c r="C109" s="227">
        <f>C107*C108</f>
        <v>36.380400000000002</v>
      </c>
      <c r="D109" s="41" t="s">
        <v>491</v>
      </c>
      <c r="E109" s="40"/>
    </row>
    <row r="110" spans="2:5" x14ac:dyDescent="0.3">
      <c r="B110" s="39" t="s">
        <v>492</v>
      </c>
      <c r="C110" s="38">
        <v>1.21</v>
      </c>
      <c r="D110" s="37"/>
      <c r="E110" s="36" t="s">
        <v>493</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R103"/>
  <sheetViews>
    <sheetView topLeftCell="A65" workbookViewId="0">
      <selection activeCell="G98" sqref="G98:H98"/>
    </sheetView>
  </sheetViews>
  <sheetFormatPr defaultRowHeight="14.5" x14ac:dyDescent="0.35"/>
  <cols>
    <col min="2" max="2" width="12.26953125" customWidth="1"/>
    <col min="3" max="3" width="9.6328125" bestFit="1" customWidth="1"/>
    <col min="4" max="4" width="11.6328125" customWidth="1"/>
    <col min="5" max="5" width="10.54296875" customWidth="1"/>
    <col min="6" max="6" width="10.36328125" customWidth="1"/>
    <col min="7" max="7" width="9.54296875" customWidth="1"/>
    <col min="8" max="8" width="10.6328125" customWidth="1"/>
  </cols>
  <sheetData>
    <row r="2" spans="1:6" s="104" customFormat="1" x14ac:dyDescent="0.35">
      <c r="A2" s="360" t="s">
        <v>680</v>
      </c>
    </row>
    <row r="3" spans="1:6" x14ac:dyDescent="0.35">
      <c r="A3" s="18"/>
    </row>
    <row r="4" spans="1:6" x14ac:dyDescent="0.35">
      <c r="A4" s="18"/>
      <c r="D4" s="597" t="s">
        <v>67</v>
      </c>
      <c r="E4" s="597"/>
    </row>
    <row r="5" spans="1:6" x14ac:dyDescent="0.35">
      <c r="B5" s="18" t="s">
        <v>682</v>
      </c>
      <c r="C5" s="18" t="s">
        <v>683</v>
      </c>
      <c r="D5" s="18">
        <v>2006</v>
      </c>
      <c r="E5" s="18">
        <v>2013</v>
      </c>
    </row>
    <row r="6" spans="1:6" x14ac:dyDescent="0.35">
      <c r="B6" s="9" t="s">
        <v>494</v>
      </c>
      <c r="C6" s="9" t="s">
        <v>495</v>
      </c>
      <c r="D6">
        <v>298</v>
      </c>
      <c r="E6">
        <v>265</v>
      </c>
    </row>
    <row r="7" spans="1:6" x14ac:dyDescent="0.35">
      <c r="B7" s="9" t="s">
        <v>171</v>
      </c>
      <c r="C7" s="9" t="s">
        <v>496</v>
      </c>
      <c r="D7">
        <v>25</v>
      </c>
      <c r="E7">
        <v>30</v>
      </c>
    </row>
    <row r="10" spans="1:6" s="104" customFormat="1" x14ac:dyDescent="0.35">
      <c r="A10" s="360" t="s">
        <v>681</v>
      </c>
    </row>
    <row r="11" spans="1:6" ht="29" x14ac:dyDescent="0.35">
      <c r="B11" s="18" t="s">
        <v>165</v>
      </c>
      <c r="C11" s="18" t="s">
        <v>684</v>
      </c>
      <c r="D11" s="18" t="s">
        <v>166</v>
      </c>
      <c r="E11" s="362" t="s">
        <v>167</v>
      </c>
      <c r="F11" s="18" t="s">
        <v>168</v>
      </c>
    </row>
    <row r="12" spans="1:6" ht="17.5" x14ac:dyDescent="0.45">
      <c r="B12" s="9" t="s">
        <v>169</v>
      </c>
      <c r="C12" s="9">
        <v>0.25677</v>
      </c>
      <c r="D12" s="9" t="s">
        <v>170</v>
      </c>
      <c r="E12" s="363">
        <f>C12/3.6</f>
        <v>7.1325E-2</v>
      </c>
      <c r="F12" s="9" t="s">
        <v>685</v>
      </c>
    </row>
    <row r="13" spans="1:6" ht="17.5" x14ac:dyDescent="0.45">
      <c r="B13" s="9" t="s">
        <v>171</v>
      </c>
      <c r="C13" s="9">
        <v>3.0000000000000001E-5</v>
      </c>
      <c r="D13" s="9" t="s">
        <v>170</v>
      </c>
      <c r="E13" s="364">
        <f>C13/3.6</f>
        <v>8.3333333333333337E-6</v>
      </c>
      <c r="F13" s="9" t="s">
        <v>685</v>
      </c>
    </row>
    <row r="14" spans="1:6" ht="17.5" x14ac:dyDescent="0.45">
      <c r="B14" s="9" t="s">
        <v>172</v>
      </c>
      <c r="C14" s="9">
        <v>3.4299999999999999E-3</v>
      </c>
      <c r="D14" s="9" t="s">
        <v>170</v>
      </c>
      <c r="E14" s="365">
        <f>C14/3.6</f>
        <v>9.5277777777777776E-4</v>
      </c>
      <c r="F14" s="9" t="s">
        <v>685</v>
      </c>
    </row>
    <row r="15" spans="1:6" x14ac:dyDescent="0.35">
      <c r="B15" s="9"/>
      <c r="C15" s="9"/>
      <c r="D15" s="9"/>
      <c r="E15" s="365"/>
      <c r="F15" s="9"/>
    </row>
    <row r="17" spans="1:14" s="104" customFormat="1" x14ac:dyDescent="0.35">
      <c r="A17" s="360" t="s">
        <v>686</v>
      </c>
    </row>
    <row r="19" spans="1:14" ht="29" x14ac:dyDescent="0.35">
      <c r="B19" s="380" t="s">
        <v>687</v>
      </c>
      <c r="C19" s="383"/>
      <c r="D19" s="380" t="s">
        <v>166</v>
      </c>
      <c r="E19" s="381" t="s">
        <v>703</v>
      </c>
      <c r="F19" s="380" t="s">
        <v>481</v>
      </c>
      <c r="G19" s="380" t="s">
        <v>168</v>
      </c>
      <c r="H19" s="366"/>
      <c r="I19" s="366"/>
      <c r="J19" s="366"/>
      <c r="K19" s="366"/>
      <c r="L19" s="366"/>
      <c r="M19" s="366"/>
      <c r="N19" s="366"/>
    </row>
    <row r="20" spans="1:14" x14ac:dyDescent="0.35">
      <c r="B20" s="366"/>
      <c r="C20" s="366"/>
      <c r="D20" s="366" t="s">
        <v>688</v>
      </c>
      <c r="E20" s="366" t="s">
        <v>261</v>
      </c>
      <c r="F20" s="366">
        <v>0.5</v>
      </c>
      <c r="G20" s="368" t="s">
        <v>262</v>
      </c>
      <c r="I20" s="366"/>
      <c r="J20" s="366"/>
      <c r="K20" s="366"/>
    </row>
    <row r="21" spans="1:14" x14ac:dyDescent="0.35">
      <c r="B21" s="366"/>
      <c r="C21" s="366"/>
      <c r="D21" s="366" t="s">
        <v>688</v>
      </c>
      <c r="E21" s="366" t="s">
        <v>263</v>
      </c>
      <c r="F21" s="366">
        <v>0.37</v>
      </c>
      <c r="G21" s="368" t="s">
        <v>262</v>
      </c>
      <c r="I21" s="366"/>
      <c r="J21" s="366"/>
      <c r="K21" s="366"/>
      <c r="L21" s="366"/>
      <c r="M21" s="366"/>
    </row>
    <row r="22" spans="1:14" x14ac:dyDescent="0.35">
      <c r="B22" s="366"/>
      <c r="C22" s="366"/>
      <c r="D22" s="366" t="s">
        <v>689</v>
      </c>
      <c r="E22" s="366" t="s">
        <v>264</v>
      </c>
      <c r="F22" s="366">
        <v>0.47</v>
      </c>
      <c r="G22" s="368" t="s">
        <v>262</v>
      </c>
      <c r="I22" s="366"/>
      <c r="J22" s="366"/>
      <c r="K22" s="366"/>
      <c r="L22" s="366"/>
      <c r="M22" s="366"/>
    </row>
    <row r="23" spans="1:14" x14ac:dyDescent="0.35">
      <c r="B23" s="366"/>
      <c r="C23" s="366"/>
      <c r="D23" s="366"/>
      <c r="E23" s="366"/>
      <c r="F23" s="366"/>
      <c r="G23" s="368"/>
      <c r="I23" s="366"/>
      <c r="J23" s="366"/>
      <c r="K23" s="366"/>
      <c r="L23" s="366"/>
      <c r="M23" s="366"/>
    </row>
    <row r="24" spans="1:14" x14ac:dyDescent="0.35">
      <c r="B24" s="367" t="s">
        <v>693</v>
      </c>
      <c r="D24" s="366" t="s">
        <v>690</v>
      </c>
      <c r="F24" s="9" t="s">
        <v>696</v>
      </c>
      <c r="G24" s="378" t="s">
        <v>27</v>
      </c>
      <c r="I24" s="366"/>
      <c r="J24" s="366"/>
      <c r="K24" s="366"/>
      <c r="L24" s="366"/>
      <c r="M24" s="366"/>
    </row>
    <row r="25" spans="1:14" x14ac:dyDescent="0.35">
      <c r="D25" s="366" t="s">
        <v>266</v>
      </c>
      <c r="E25" s="369" t="s">
        <v>267</v>
      </c>
      <c r="F25" s="366">
        <f>AVERAGE(8,10.5,6.5,6.5,10,11.5,4.5,5.5)</f>
        <v>7.875</v>
      </c>
      <c r="G25" s="378" t="s">
        <v>27</v>
      </c>
      <c r="J25" s="366"/>
      <c r="K25" s="366"/>
      <c r="L25" s="366"/>
      <c r="M25" s="366"/>
      <c r="N25" s="366"/>
    </row>
    <row r="26" spans="1:14" x14ac:dyDescent="0.35">
      <c r="D26" s="366" t="s">
        <v>691</v>
      </c>
      <c r="E26" s="366" t="s">
        <v>268</v>
      </c>
      <c r="F26" s="370">
        <f>1/2.57</f>
        <v>0.38910505836575876</v>
      </c>
      <c r="G26" s="378" t="s">
        <v>27</v>
      </c>
      <c r="J26" s="366"/>
      <c r="K26" s="366"/>
      <c r="L26" s="366"/>
      <c r="M26" s="366"/>
      <c r="N26" s="366"/>
    </row>
    <row r="27" spans="1:14" x14ac:dyDescent="0.35">
      <c r="D27" s="366" t="s">
        <v>269</v>
      </c>
      <c r="E27" s="366" t="s">
        <v>270</v>
      </c>
      <c r="F27" s="370">
        <v>2.35</v>
      </c>
      <c r="G27" s="378" t="s">
        <v>27</v>
      </c>
      <c r="J27" s="366"/>
      <c r="K27" s="366"/>
      <c r="L27" s="366"/>
      <c r="M27" s="366"/>
      <c r="N27" s="366"/>
    </row>
    <row r="28" spans="1:14" x14ac:dyDescent="0.35">
      <c r="B28" s="366"/>
      <c r="C28" s="366"/>
      <c r="D28" s="366" t="s">
        <v>692</v>
      </c>
      <c r="E28" s="366" t="s">
        <v>271</v>
      </c>
      <c r="F28" s="370">
        <f>8.4/16.3</f>
        <v>0.51533742331288346</v>
      </c>
      <c r="G28" s="378" t="s">
        <v>27</v>
      </c>
      <c r="J28" s="366"/>
      <c r="K28" s="366"/>
      <c r="L28" s="366"/>
      <c r="M28" s="366"/>
      <c r="N28" s="366"/>
    </row>
    <row r="29" spans="1:14" x14ac:dyDescent="0.35">
      <c r="B29" s="366"/>
      <c r="C29" s="366"/>
      <c r="D29" s="366"/>
      <c r="E29" s="366"/>
      <c r="F29" s="366"/>
      <c r="G29" s="366"/>
      <c r="H29" s="366"/>
      <c r="I29" s="370"/>
      <c r="J29" s="366"/>
      <c r="K29" s="366"/>
      <c r="L29" s="366"/>
      <c r="M29" s="366"/>
      <c r="N29" s="366"/>
    </row>
    <row r="30" spans="1:14" x14ac:dyDescent="0.35">
      <c r="B30" s="367" t="s">
        <v>102</v>
      </c>
      <c r="C30" s="366"/>
      <c r="D30" s="366" t="s">
        <v>690</v>
      </c>
      <c r="E30" s="366"/>
      <c r="F30" s="366" t="s">
        <v>695</v>
      </c>
      <c r="G30" s="378" t="s">
        <v>27</v>
      </c>
      <c r="H30" s="366"/>
      <c r="I30" s="366"/>
      <c r="J30" s="366"/>
      <c r="K30" s="366"/>
      <c r="L30" s="366"/>
      <c r="M30" s="366"/>
      <c r="N30" s="366"/>
    </row>
    <row r="31" spans="1:14" x14ac:dyDescent="0.35">
      <c r="B31" s="366"/>
      <c r="C31" s="366"/>
      <c r="D31" s="366"/>
      <c r="E31" s="366"/>
      <c r="F31" s="366"/>
      <c r="G31" s="366"/>
      <c r="H31" s="366"/>
      <c r="I31" s="366"/>
      <c r="J31" s="366"/>
      <c r="K31" s="366"/>
      <c r="L31" s="366"/>
      <c r="M31" s="366"/>
      <c r="N31" s="366"/>
    </row>
    <row r="32" spans="1:14" x14ac:dyDescent="0.35">
      <c r="B32" s="367" t="s">
        <v>694</v>
      </c>
      <c r="C32" s="371" t="s">
        <v>67</v>
      </c>
      <c r="D32" s="371" t="s">
        <v>28</v>
      </c>
      <c r="E32" s="371" t="s">
        <v>29</v>
      </c>
      <c r="F32" s="371" t="s">
        <v>30</v>
      </c>
      <c r="G32" s="371" t="s">
        <v>26</v>
      </c>
      <c r="H32" s="366"/>
      <c r="I32" s="366"/>
      <c r="J32" s="366"/>
      <c r="K32" s="366"/>
      <c r="L32" s="366"/>
      <c r="M32" s="366"/>
      <c r="N32" s="366"/>
    </row>
    <row r="33" spans="1:14" ht="16.5" x14ac:dyDescent="0.35">
      <c r="B33" s="366" t="s">
        <v>704</v>
      </c>
      <c r="C33" s="366">
        <v>1</v>
      </c>
      <c r="D33" s="372">
        <v>0.6</v>
      </c>
      <c r="E33" s="372">
        <v>2.0466666666666664</v>
      </c>
      <c r="F33" s="372">
        <v>0</v>
      </c>
      <c r="G33" s="371" t="s">
        <v>27</v>
      </c>
      <c r="H33" s="366"/>
      <c r="I33" s="366"/>
      <c r="J33" s="366"/>
      <c r="K33" s="366"/>
      <c r="L33" s="366"/>
      <c r="M33" s="366"/>
      <c r="N33" s="366"/>
    </row>
    <row r="34" spans="1:14" x14ac:dyDescent="0.35">
      <c r="B34" s="366"/>
      <c r="C34" s="366">
        <v>2</v>
      </c>
      <c r="D34" s="372">
        <v>3.9250000000000003</v>
      </c>
      <c r="E34" s="372">
        <v>8.27</v>
      </c>
      <c r="F34" s="372">
        <v>9.9333333333333336</v>
      </c>
      <c r="G34" s="371" t="s">
        <v>27</v>
      </c>
      <c r="H34" s="366"/>
      <c r="I34" s="366"/>
      <c r="J34" s="366"/>
      <c r="K34" s="366"/>
      <c r="L34" s="366"/>
      <c r="M34" s="366"/>
      <c r="N34" s="366"/>
    </row>
    <row r="35" spans="1:14" x14ac:dyDescent="0.35">
      <c r="B35" s="366"/>
      <c r="C35" s="366">
        <v>3</v>
      </c>
      <c r="D35" s="372">
        <v>11.099999999999998</v>
      </c>
      <c r="E35" s="372">
        <v>10.926666666666668</v>
      </c>
      <c r="F35" s="372">
        <v>14.700000000000001</v>
      </c>
      <c r="G35" s="371" t="s">
        <v>27</v>
      </c>
      <c r="H35" s="366"/>
      <c r="I35" s="366"/>
      <c r="J35" s="366"/>
      <c r="K35" s="366"/>
      <c r="L35" s="366"/>
      <c r="M35" s="366"/>
      <c r="N35" s="366"/>
    </row>
    <row r="36" spans="1:14" x14ac:dyDescent="0.35">
      <c r="B36" s="366"/>
      <c r="C36" s="366">
        <v>4</v>
      </c>
      <c r="D36" s="372">
        <v>12.541666666666666</v>
      </c>
      <c r="E36" s="372">
        <v>11.617000000000001</v>
      </c>
      <c r="F36" s="372">
        <v>15.733333333333334</v>
      </c>
      <c r="G36" s="371">
        <v>30</v>
      </c>
      <c r="H36" s="366"/>
      <c r="I36" s="366"/>
      <c r="J36" s="366"/>
      <c r="K36" s="366"/>
      <c r="L36" s="366"/>
      <c r="M36" s="366"/>
      <c r="N36" s="366"/>
    </row>
    <row r="37" spans="1:14" x14ac:dyDescent="0.35">
      <c r="B37" s="366"/>
      <c r="C37" s="366">
        <v>5</v>
      </c>
      <c r="D37" s="372">
        <v>12.541666666666666</v>
      </c>
      <c r="E37" s="372">
        <v>11.617000000000001</v>
      </c>
      <c r="F37" s="372">
        <v>16.3</v>
      </c>
      <c r="G37" s="371" t="s">
        <v>27</v>
      </c>
      <c r="H37" s="366"/>
      <c r="I37" s="366"/>
      <c r="J37" s="366"/>
      <c r="K37" s="366"/>
      <c r="L37" s="366"/>
      <c r="M37" s="366"/>
      <c r="N37" s="366"/>
    </row>
    <row r="38" spans="1:14" x14ac:dyDescent="0.35">
      <c r="B38" s="366"/>
      <c r="C38" s="366"/>
      <c r="D38" s="372"/>
      <c r="E38" s="372"/>
      <c r="F38" s="372"/>
      <c r="G38" s="371"/>
      <c r="H38" s="366"/>
      <c r="I38" s="366"/>
      <c r="J38" s="366"/>
      <c r="K38" s="366"/>
      <c r="L38" s="366"/>
      <c r="M38" s="366"/>
      <c r="N38" s="366"/>
    </row>
    <row r="39" spans="1:14" x14ac:dyDescent="0.35">
      <c r="B39" s="366"/>
      <c r="C39" s="366"/>
      <c r="D39" s="366"/>
      <c r="E39" s="366"/>
      <c r="F39" s="366"/>
      <c r="G39" s="366"/>
      <c r="H39" s="366"/>
      <c r="I39" s="366"/>
      <c r="J39" s="366"/>
      <c r="K39" s="366"/>
      <c r="L39" s="366"/>
      <c r="M39" s="366"/>
      <c r="N39" s="366"/>
    </row>
    <row r="40" spans="1:14" s="104" customFormat="1" x14ac:dyDescent="0.35">
      <c r="A40" s="360" t="s">
        <v>697</v>
      </c>
      <c r="B40" s="373"/>
      <c r="C40" s="373"/>
      <c r="D40" s="373"/>
      <c r="E40" s="373"/>
      <c r="F40" s="373"/>
      <c r="G40" s="373"/>
      <c r="H40" s="373"/>
      <c r="I40" s="373"/>
      <c r="J40" s="373"/>
      <c r="K40" s="373"/>
      <c r="L40" s="373"/>
      <c r="M40" s="373"/>
      <c r="N40" s="373"/>
    </row>
    <row r="41" spans="1:14" x14ac:dyDescent="0.35">
      <c r="A41" s="9"/>
      <c r="B41" s="366"/>
      <c r="C41" s="366"/>
      <c r="D41" s="366"/>
      <c r="E41" s="366"/>
      <c r="F41" s="366"/>
      <c r="G41" s="366"/>
      <c r="H41" s="366"/>
      <c r="I41" s="366"/>
      <c r="J41" s="366"/>
      <c r="K41" s="366"/>
      <c r="L41" s="366"/>
      <c r="M41" s="366"/>
      <c r="N41" s="366"/>
    </row>
    <row r="42" spans="1:14" x14ac:dyDescent="0.35">
      <c r="B42" s="366"/>
      <c r="C42" s="366"/>
      <c r="D42" s="380" t="s">
        <v>166</v>
      </c>
      <c r="E42" s="381" t="s">
        <v>702</v>
      </c>
      <c r="F42" s="18" t="s">
        <v>480</v>
      </c>
      <c r="G42" s="380" t="s">
        <v>481</v>
      </c>
      <c r="H42" s="382" t="s">
        <v>168</v>
      </c>
      <c r="I42" s="366"/>
      <c r="J42" s="366"/>
    </row>
    <row r="43" spans="1:14" ht="16.5" x14ac:dyDescent="0.35">
      <c r="B43" s="374" t="s">
        <v>272</v>
      </c>
      <c r="C43" s="375"/>
      <c r="D43" s="376" t="s">
        <v>273</v>
      </c>
      <c r="E43" s="366"/>
      <c r="G43" s="376">
        <f>((10/25)+(25/25))/2</f>
        <v>0.7</v>
      </c>
      <c r="H43" s="368" t="s">
        <v>699</v>
      </c>
      <c r="I43" s="366"/>
      <c r="J43" s="366"/>
    </row>
    <row r="44" spans="1:14" x14ac:dyDescent="0.35">
      <c r="B44" s="374"/>
      <c r="C44" s="375"/>
      <c r="D44" s="376"/>
      <c r="E44" s="366"/>
      <c r="G44" s="366"/>
      <c r="H44" s="376"/>
      <c r="I44" s="366"/>
      <c r="J44" s="366"/>
    </row>
    <row r="45" spans="1:14" ht="28.5" customHeight="1" x14ac:dyDescent="0.35">
      <c r="B45" s="598" t="s">
        <v>700</v>
      </c>
      <c r="C45" s="598"/>
      <c r="D45" s="376" t="s">
        <v>273</v>
      </c>
      <c r="E45" s="376"/>
      <c r="G45" s="376">
        <f>(5+12)/2</f>
        <v>8.5</v>
      </c>
      <c r="H45" s="368" t="s">
        <v>698</v>
      </c>
      <c r="I45" s="366"/>
      <c r="J45" s="366"/>
    </row>
    <row r="46" spans="1:14" x14ac:dyDescent="0.35">
      <c r="B46" s="374"/>
      <c r="C46" s="375"/>
      <c r="D46" s="376"/>
      <c r="E46" s="376"/>
      <c r="G46" s="376"/>
      <c r="H46" s="376"/>
      <c r="I46" s="366"/>
      <c r="J46" s="366"/>
    </row>
    <row r="47" spans="1:14" ht="16.5" x14ac:dyDescent="0.35">
      <c r="B47" s="367" t="s">
        <v>260</v>
      </c>
      <c r="C47" s="366"/>
      <c r="D47" s="376" t="s">
        <v>273</v>
      </c>
      <c r="E47" s="366"/>
      <c r="G47" s="377">
        <f>G45/24</f>
        <v>0.35416666666666669</v>
      </c>
      <c r="H47" s="368" t="s">
        <v>701</v>
      </c>
      <c r="I47" s="366"/>
      <c r="J47" s="366"/>
    </row>
    <row r="48" spans="1:14" x14ac:dyDescent="0.35">
      <c r="B48" s="366"/>
      <c r="C48" s="366"/>
      <c r="D48" s="366"/>
      <c r="E48" s="366"/>
      <c r="G48" s="366"/>
      <c r="H48" s="366"/>
      <c r="I48" s="366"/>
      <c r="J48" s="366"/>
    </row>
    <row r="49" spans="2:15" x14ac:dyDescent="0.35">
      <c r="B49" s="367" t="s">
        <v>100</v>
      </c>
      <c r="C49" s="366"/>
      <c r="D49" s="366" t="s">
        <v>688</v>
      </c>
      <c r="E49" s="366" t="s">
        <v>261</v>
      </c>
      <c r="G49" s="366">
        <v>0.5</v>
      </c>
      <c r="H49" s="368" t="s">
        <v>262</v>
      </c>
      <c r="I49" s="366"/>
      <c r="J49" s="366"/>
    </row>
    <row r="50" spans="2:15" x14ac:dyDescent="0.35">
      <c r="B50" s="366"/>
      <c r="C50" s="366"/>
      <c r="D50" s="366" t="s">
        <v>688</v>
      </c>
      <c r="E50" s="366" t="s">
        <v>263</v>
      </c>
      <c r="G50" s="366">
        <v>0.37</v>
      </c>
      <c r="H50" s="368" t="s">
        <v>262</v>
      </c>
      <c r="I50" s="366"/>
      <c r="J50" s="366"/>
    </row>
    <row r="51" spans="2:15" x14ac:dyDescent="0.35">
      <c r="B51" s="366"/>
      <c r="C51" s="366"/>
      <c r="D51" s="366" t="s">
        <v>689</v>
      </c>
      <c r="E51" s="366" t="s">
        <v>264</v>
      </c>
      <c r="G51" s="366">
        <v>0.47</v>
      </c>
      <c r="H51" s="368" t="s">
        <v>262</v>
      </c>
      <c r="I51" s="366"/>
      <c r="J51" s="366"/>
    </row>
    <row r="52" spans="2:15" x14ac:dyDescent="0.35">
      <c r="B52" s="366"/>
      <c r="C52" s="366"/>
      <c r="D52" s="366"/>
      <c r="E52" s="366"/>
      <c r="G52" s="366"/>
      <c r="H52" s="366"/>
      <c r="I52" s="366"/>
      <c r="J52" s="366"/>
    </row>
    <row r="53" spans="2:15" x14ac:dyDescent="0.35">
      <c r="B53" s="367" t="s">
        <v>693</v>
      </c>
      <c r="D53" s="366" t="s">
        <v>690</v>
      </c>
      <c r="G53" s="9" t="s">
        <v>696</v>
      </c>
      <c r="I53" s="366"/>
      <c r="J53" s="366"/>
    </row>
    <row r="54" spans="2:15" x14ac:dyDescent="0.35">
      <c r="D54" s="366" t="s">
        <v>266</v>
      </c>
      <c r="E54" s="366" t="s">
        <v>265</v>
      </c>
      <c r="F54" s="369" t="s">
        <v>267</v>
      </c>
      <c r="G54" s="366">
        <f>AVERAGE(8,10.5,6.5,6.5,10,11.5,4.5,5.5)</f>
        <v>7.875</v>
      </c>
      <c r="H54" s="384" t="s">
        <v>27</v>
      </c>
    </row>
    <row r="55" spans="2:15" x14ac:dyDescent="0.35">
      <c r="B55" s="367"/>
      <c r="C55" s="366"/>
      <c r="D55" s="366" t="s">
        <v>691</v>
      </c>
      <c r="E55" s="366" t="s">
        <v>28</v>
      </c>
      <c r="F55" s="366" t="s">
        <v>268</v>
      </c>
      <c r="G55" s="370">
        <f>1/2.57</f>
        <v>0.38910505836575876</v>
      </c>
      <c r="H55" s="384" t="s">
        <v>27</v>
      </c>
      <c r="I55" s="366"/>
      <c r="L55" s="366"/>
      <c r="M55" s="366"/>
      <c r="N55" s="366"/>
      <c r="O55" s="370"/>
    </row>
    <row r="56" spans="2:15" x14ac:dyDescent="0.35">
      <c r="B56" s="366"/>
      <c r="C56" s="366"/>
      <c r="D56" s="366" t="s">
        <v>269</v>
      </c>
      <c r="E56" s="366" t="s">
        <v>29</v>
      </c>
      <c r="F56" s="366" t="s">
        <v>270</v>
      </c>
      <c r="G56" s="370">
        <v>2.35</v>
      </c>
      <c r="H56" s="384" t="s">
        <v>27</v>
      </c>
      <c r="I56" s="366"/>
    </row>
    <row r="57" spans="2:15" x14ac:dyDescent="0.35">
      <c r="B57" s="366"/>
      <c r="C57" s="366"/>
      <c r="D57" s="366" t="s">
        <v>692</v>
      </c>
      <c r="E57" s="366" t="s">
        <v>30</v>
      </c>
      <c r="F57" s="366" t="s">
        <v>271</v>
      </c>
      <c r="G57" s="370">
        <f>8.4/16.3</f>
        <v>0.51533742331288346</v>
      </c>
      <c r="H57" s="384" t="s">
        <v>27</v>
      </c>
      <c r="I57" s="366"/>
    </row>
    <row r="58" spans="2:15" x14ac:dyDescent="0.35">
      <c r="B58" s="366"/>
      <c r="C58" s="366"/>
      <c r="D58" s="366"/>
      <c r="E58" s="366"/>
      <c r="F58" s="366"/>
      <c r="G58" s="366"/>
      <c r="H58" s="366"/>
      <c r="I58" s="366"/>
      <c r="J58" s="366"/>
    </row>
    <row r="59" spans="2:15" x14ac:dyDescent="0.35">
      <c r="B59" s="367" t="s">
        <v>102</v>
      </c>
      <c r="C59" s="366"/>
      <c r="D59" s="366" t="s">
        <v>690</v>
      </c>
      <c r="E59" s="366"/>
      <c r="F59" s="366"/>
      <c r="G59" s="366" t="s">
        <v>695</v>
      </c>
      <c r="H59" s="384" t="s">
        <v>27</v>
      </c>
      <c r="I59" s="366"/>
      <c r="J59" s="366"/>
    </row>
    <row r="60" spans="2:15" x14ac:dyDescent="0.35">
      <c r="B60" s="366"/>
      <c r="C60" s="366"/>
      <c r="D60" s="366"/>
      <c r="E60" s="366"/>
      <c r="F60" s="366"/>
      <c r="G60" s="366"/>
      <c r="H60" s="366"/>
      <c r="I60" s="366"/>
      <c r="J60" s="366"/>
    </row>
    <row r="61" spans="2:15" x14ac:dyDescent="0.35">
      <c r="B61" s="367" t="s">
        <v>705</v>
      </c>
      <c r="C61" s="367"/>
      <c r="D61" s="379"/>
      <c r="E61" s="381"/>
      <c r="G61" s="366"/>
      <c r="H61" s="366"/>
      <c r="I61" s="366"/>
      <c r="J61" s="366"/>
    </row>
    <row r="62" spans="2:15" ht="16.5" x14ac:dyDescent="0.35">
      <c r="B62" s="366"/>
      <c r="C62" s="366"/>
      <c r="D62" s="370" t="s">
        <v>274</v>
      </c>
      <c r="E62" s="379" t="s">
        <v>28</v>
      </c>
      <c r="G62" s="372">
        <f>18/12</f>
        <v>1.5</v>
      </c>
      <c r="H62" s="366" t="s">
        <v>706</v>
      </c>
      <c r="I62" s="366"/>
      <c r="J62" s="366"/>
    </row>
    <row r="63" spans="2:15" ht="16.5" x14ac:dyDescent="0.35">
      <c r="B63" s="366"/>
      <c r="D63" s="370" t="s">
        <v>275</v>
      </c>
      <c r="E63" s="379" t="s">
        <v>29</v>
      </c>
      <c r="G63" s="372">
        <f>11.62*G56/16</f>
        <v>1.7066874999999999</v>
      </c>
      <c r="H63" s="366" t="s">
        <v>706</v>
      </c>
      <c r="I63" s="366"/>
      <c r="J63" s="366"/>
    </row>
    <row r="64" spans="2:15" ht="16.5" x14ac:dyDescent="0.35">
      <c r="D64" s="370" t="s">
        <v>276</v>
      </c>
      <c r="E64" s="379" t="s">
        <v>30</v>
      </c>
      <c r="G64" s="372">
        <f>16.3*G57/16</f>
        <v>0.52500000000000002</v>
      </c>
      <c r="H64" s="366" t="s">
        <v>706</v>
      </c>
    </row>
    <row r="65" spans="1:18" x14ac:dyDescent="0.35">
      <c r="D65" s="370"/>
      <c r="E65" s="379"/>
      <c r="G65" s="372"/>
      <c r="H65" s="366"/>
    </row>
    <row r="67" spans="1:18" s="104" customFormat="1" x14ac:dyDescent="0.35">
      <c r="A67" s="360" t="s">
        <v>726</v>
      </c>
    </row>
    <row r="68" spans="1:18" x14ac:dyDescent="0.35">
      <c r="B68" s="366"/>
      <c r="C68" s="366"/>
      <c r="D68" s="366"/>
      <c r="E68" s="366"/>
      <c r="F68" s="366"/>
      <c r="G68" s="366"/>
      <c r="H68" s="366"/>
      <c r="I68" s="366"/>
      <c r="J68" s="366"/>
      <c r="K68" s="366"/>
      <c r="L68" s="366"/>
      <c r="M68" s="366"/>
      <c r="N68" s="366"/>
      <c r="O68" s="366"/>
      <c r="P68" s="366"/>
      <c r="Q68" s="366"/>
      <c r="R68" s="366"/>
    </row>
    <row r="69" spans="1:18" x14ac:dyDescent="0.35">
      <c r="B69" s="366"/>
      <c r="C69" s="366"/>
      <c r="D69" s="366"/>
      <c r="E69" s="366"/>
      <c r="F69" s="366"/>
      <c r="G69" s="366"/>
      <c r="H69" s="366"/>
      <c r="I69" s="366"/>
      <c r="J69" s="366"/>
      <c r="K69" s="366"/>
      <c r="L69" s="366"/>
      <c r="M69" s="366"/>
      <c r="N69" s="366"/>
      <c r="O69" s="366"/>
      <c r="P69" s="366"/>
      <c r="Q69" s="366"/>
      <c r="R69" s="366"/>
    </row>
    <row r="70" spans="1:18" x14ac:dyDescent="0.35">
      <c r="B70" s="421" t="s">
        <v>307</v>
      </c>
      <c r="C70" s="422"/>
      <c r="D70" s="421" t="s">
        <v>166</v>
      </c>
      <c r="E70" s="421"/>
      <c r="F70" s="421"/>
      <c r="G70" s="423" t="s">
        <v>481</v>
      </c>
      <c r="H70" s="424" t="s">
        <v>168</v>
      </c>
      <c r="I70" s="421" t="s">
        <v>727</v>
      </c>
      <c r="J70" s="422"/>
      <c r="K70" s="422"/>
      <c r="L70" s="422"/>
      <c r="M70" s="422"/>
      <c r="N70" s="366"/>
      <c r="O70" s="366"/>
      <c r="P70" s="366"/>
      <c r="Q70" s="366"/>
      <c r="R70" s="366"/>
    </row>
    <row r="71" spans="1:18" ht="16.5" x14ac:dyDescent="0.45">
      <c r="B71" s="367" t="s">
        <v>732</v>
      </c>
      <c r="C71" s="366"/>
      <c r="D71" s="366" t="s">
        <v>733</v>
      </c>
      <c r="E71" s="366"/>
      <c r="F71" s="366"/>
      <c r="G71" s="370">
        <v>0.7</v>
      </c>
      <c r="H71" s="378" t="s">
        <v>27</v>
      </c>
      <c r="I71" s="366" t="s">
        <v>729</v>
      </c>
      <c r="J71" s="366"/>
      <c r="K71" s="366"/>
      <c r="L71" s="366"/>
      <c r="M71" s="366"/>
      <c r="N71" s="366"/>
      <c r="O71" s="366"/>
      <c r="P71" s="366"/>
      <c r="Q71" s="366"/>
      <c r="R71" s="366"/>
    </row>
    <row r="72" spans="1:18" ht="16.5" x14ac:dyDescent="0.45">
      <c r="B72" s="367" t="s">
        <v>734</v>
      </c>
      <c r="C72" s="366"/>
      <c r="D72" s="366" t="s">
        <v>733</v>
      </c>
      <c r="E72" s="366"/>
      <c r="F72" s="366"/>
      <c r="G72" s="370">
        <v>1</v>
      </c>
      <c r="H72" s="378" t="s">
        <v>27</v>
      </c>
      <c r="I72" s="366" t="s">
        <v>730</v>
      </c>
      <c r="J72" s="366"/>
      <c r="K72" s="366"/>
      <c r="L72" s="366"/>
      <c r="M72" s="366"/>
      <c r="N72" s="366"/>
      <c r="O72" s="366"/>
      <c r="P72" s="366"/>
    </row>
    <row r="73" spans="1:18" ht="16.5" x14ac:dyDescent="0.45">
      <c r="B73" s="367" t="s">
        <v>735</v>
      </c>
      <c r="C73" s="366"/>
      <c r="D73" s="366" t="s">
        <v>733</v>
      </c>
      <c r="E73" s="366"/>
      <c r="F73" s="366"/>
      <c r="G73" s="370">
        <v>1</v>
      </c>
      <c r="H73" s="378" t="s">
        <v>27</v>
      </c>
      <c r="I73" s="366" t="s">
        <v>731</v>
      </c>
      <c r="J73" s="366"/>
      <c r="K73" s="366"/>
      <c r="L73" s="366"/>
      <c r="M73" s="366"/>
      <c r="N73" s="366"/>
      <c r="O73" s="366"/>
      <c r="P73" s="366"/>
    </row>
    <row r="74" spans="1:18" ht="17.5" x14ac:dyDescent="0.45">
      <c r="B74" s="367" t="s">
        <v>736</v>
      </c>
      <c r="C74" s="366"/>
      <c r="D74" s="366" t="s">
        <v>737</v>
      </c>
      <c r="E74" s="366"/>
      <c r="F74" s="366"/>
      <c r="G74" s="366">
        <v>76</v>
      </c>
      <c r="H74" s="366" t="s">
        <v>728</v>
      </c>
      <c r="I74" s="366" t="s">
        <v>312</v>
      </c>
      <c r="J74" s="366"/>
      <c r="K74" s="366"/>
      <c r="L74" s="366"/>
      <c r="M74" s="366"/>
      <c r="N74" s="366"/>
      <c r="O74" s="366"/>
      <c r="P74" s="366"/>
    </row>
    <row r="75" spans="1:18" x14ac:dyDescent="0.35">
      <c r="B75" s="367"/>
      <c r="C75" s="366"/>
      <c r="D75" s="366"/>
      <c r="E75" s="366"/>
      <c r="F75" s="366"/>
      <c r="G75" s="366"/>
      <c r="H75" s="378"/>
      <c r="I75" s="366"/>
      <c r="J75" s="366"/>
      <c r="K75" s="366"/>
      <c r="L75" s="366"/>
      <c r="M75" s="366"/>
      <c r="N75" s="366"/>
      <c r="O75" s="366"/>
      <c r="P75" s="366"/>
    </row>
    <row r="76" spans="1:18" x14ac:dyDescent="0.35">
      <c r="B76" s="421" t="s">
        <v>34</v>
      </c>
      <c r="C76" s="422"/>
      <c r="D76" s="422"/>
      <c r="E76" s="422"/>
      <c r="F76" s="422"/>
      <c r="G76" s="422"/>
      <c r="H76" s="422"/>
      <c r="I76" s="422"/>
      <c r="J76" s="422"/>
      <c r="K76" s="422"/>
      <c r="L76" s="422"/>
      <c r="M76" s="422"/>
      <c r="N76" s="366"/>
      <c r="O76" s="366"/>
      <c r="P76" s="366"/>
    </row>
    <row r="77" spans="1:18" x14ac:dyDescent="0.35">
      <c r="B77" s="367" t="s">
        <v>308</v>
      </c>
      <c r="D77" s="366" t="s">
        <v>733</v>
      </c>
      <c r="E77" s="366"/>
      <c r="F77" s="366"/>
      <c r="G77" s="370">
        <v>0.72</v>
      </c>
      <c r="H77" s="378" t="s">
        <v>27</v>
      </c>
      <c r="I77" s="366" t="s">
        <v>742</v>
      </c>
      <c r="J77" s="366"/>
      <c r="K77" s="366"/>
      <c r="L77" s="366"/>
      <c r="M77" s="366"/>
    </row>
    <row r="78" spans="1:18" x14ac:dyDescent="0.35">
      <c r="B78" s="367" t="s">
        <v>309</v>
      </c>
      <c r="D78" s="366" t="s">
        <v>733</v>
      </c>
      <c r="E78" s="366"/>
      <c r="F78" s="366"/>
      <c r="G78" s="370">
        <v>1.04</v>
      </c>
      <c r="H78" s="378" t="s">
        <v>27</v>
      </c>
      <c r="I78" s="366" t="s">
        <v>743</v>
      </c>
      <c r="J78" s="366"/>
      <c r="K78" s="366"/>
      <c r="L78" s="366"/>
      <c r="M78" s="366"/>
    </row>
    <row r="79" spans="1:18" x14ac:dyDescent="0.35">
      <c r="B79" s="367" t="s">
        <v>310</v>
      </c>
      <c r="D79" s="366" t="s">
        <v>733</v>
      </c>
      <c r="E79" s="366"/>
      <c r="F79" s="366"/>
      <c r="G79" s="370">
        <v>1.1100000000000001</v>
      </c>
      <c r="H79" s="378" t="s">
        <v>27</v>
      </c>
      <c r="I79" s="366" t="s">
        <v>744</v>
      </c>
      <c r="J79" s="366"/>
      <c r="K79" s="366"/>
      <c r="L79" s="366"/>
      <c r="M79" s="366"/>
    </row>
    <row r="80" spans="1:18" ht="16.5" x14ac:dyDescent="0.35">
      <c r="B80" s="367" t="s">
        <v>311</v>
      </c>
      <c r="D80" s="366" t="s">
        <v>737</v>
      </c>
      <c r="E80" s="366"/>
      <c r="F80" s="366"/>
      <c r="G80" s="366">
        <v>76</v>
      </c>
      <c r="H80" s="366" t="s">
        <v>728</v>
      </c>
      <c r="I80" s="366" t="s">
        <v>745</v>
      </c>
      <c r="J80" s="366"/>
      <c r="K80" s="366"/>
      <c r="L80" s="366"/>
      <c r="M80" s="366"/>
    </row>
    <row r="81" spans="1:14" x14ac:dyDescent="0.35">
      <c r="B81" s="13"/>
      <c r="C81" s="13"/>
      <c r="D81" s="13"/>
      <c r="E81" s="13"/>
      <c r="F81" s="13"/>
      <c r="G81" s="13"/>
      <c r="H81" s="13"/>
      <c r="I81" s="127"/>
    </row>
    <row r="83" spans="1:14" s="104" customFormat="1" x14ac:dyDescent="0.35">
      <c r="A83" s="360" t="s">
        <v>749</v>
      </c>
    </row>
    <row r="85" spans="1:14" x14ac:dyDescent="0.35">
      <c r="B85" s="421" t="s">
        <v>753</v>
      </c>
      <c r="C85" s="422"/>
      <c r="D85" s="422"/>
      <c r="E85" s="422"/>
      <c r="F85" s="422"/>
      <c r="G85" s="423" t="s">
        <v>481</v>
      </c>
      <c r="H85" s="424" t="s">
        <v>168</v>
      </c>
      <c r="I85" s="366"/>
      <c r="J85" s="366"/>
      <c r="K85" s="366"/>
    </row>
    <row r="86" spans="1:14" x14ac:dyDescent="0.35">
      <c r="B86" s="367" t="s">
        <v>100</v>
      </c>
      <c r="C86" s="366"/>
      <c r="D86" s="366"/>
      <c r="E86" s="366"/>
      <c r="F86" s="366"/>
      <c r="G86" s="366">
        <v>0.37</v>
      </c>
      <c r="H86" s="366" t="s">
        <v>116</v>
      </c>
      <c r="I86" s="366"/>
      <c r="J86" s="366"/>
      <c r="K86" s="366"/>
    </row>
    <row r="87" spans="1:14" x14ac:dyDescent="0.35">
      <c r="B87" s="367" t="s">
        <v>498</v>
      </c>
      <c r="C87" s="366"/>
      <c r="D87" s="366"/>
      <c r="E87" s="366"/>
      <c r="F87" s="366"/>
      <c r="G87" s="366"/>
      <c r="I87" s="366"/>
      <c r="J87" s="366"/>
      <c r="K87" s="366"/>
    </row>
    <row r="88" spans="1:14" ht="16.5" x14ac:dyDescent="0.35">
      <c r="B88" s="367"/>
      <c r="C88" s="366" t="s">
        <v>26</v>
      </c>
      <c r="D88" s="366" t="s">
        <v>755</v>
      </c>
      <c r="E88" s="366"/>
      <c r="F88" s="366"/>
      <c r="G88" s="366">
        <f>7.4/4</f>
        <v>1.85</v>
      </c>
      <c r="H88" s="366" t="s">
        <v>754</v>
      </c>
      <c r="I88" s="366" t="s">
        <v>350</v>
      </c>
      <c r="J88" s="366"/>
      <c r="K88" s="366"/>
      <c r="L88" s="366"/>
      <c r="M88" s="366"/>
      <c r="N88" s="366"/>
    </row>
    <row r="89" spans="1:14" ht="16.5" x14ac:dyDescent="0.35">
      <c r="B89" s="366"/>
      <c r="C89" s="366" t="s">
        <v>28</v>
      </c>
      <c r="D89" s="366" t="s">
        <v>352</v>
      </c>
      <c r="E89" s="366"/>
      <c r="F89" s="366"/>
      <c r="G89" s="370">
        <f>AVERAGE(0.29,0.42)</f>
        <v>0.35499999999999998</v>
      </c>
      <c r="H89" s="366" t="s">
        <v>754</v>
      </c>
      <c r="I89" s="366" t="s">
        <v>351</v>
      </c>
      <c r="J89" s="366"/>
      <c r="K89" s="366"/>
      <c r="L89" s="366"/>
      <c r="M89" s="366"/>
      <c r="N89" s="366"/>
    </row>
    <row r="90" spans="1:14" x14ac:dyDescent="0.35">
      <c r="B90" s="366"/>
      <c r="C90" s="366"/>
      <c r="D90" s="366"/>
      <c r="E90" s="366"/>
      <c r="F90" s="366"/>
      <c r="G90" s="366"/>
      <c r="H90" s="366"/>
      <c r="I90" s="366"/>
      <c r="J90" s="366"/>
      <c r="K90" s="366"/>
      <c r="L90" s="366"/>
      <c r="M90" s="366"/>
      <c r="N90" s="366"/>
    </row>
    <row r="91" spans="1:14" x14ac:dyDescent="0.35">
      <c r="B91" s="367" t="s">
        <v>353</v>
      </c>
      <c r="C91" s="9" t="s">
        <v>67</v>
      </c>
      <c r="D91" s="371" t="s">
        <v>28</v>
      </c>
      <c r="E91" s="371" t="s">
        <v>29</v>
      </c>
      <c r="F91" s="371" t="s">
        <v>30</v>
      </c>
      <c r="G91" s="366"/>
      <c r="H91" s="366"/>
      <c r="I91" s="366"/>
      <c r="J91" s="366"/>
      <c r="K91" s="366"/>
      <c r="L91" s="366"/>
      <c r="M91" s="366"/>
      <c r="N91" s="366"/>
    </row>
    <row r="92" spans="1:14" x14ac:dyDescent="0.35">
      <c r="B92" s="366"/>
      <c r="C92">
        <v>1</v>
      </c>
      <c r="D92" s="372">
        <v>0.6</v>
      </c>
      <c r="E92" s="372">
        <v>2.0466666666666664</v>
      </c>
      <c r="F92" s="372">
        <v>0</v>
      </c>
      <c r="G92" s="366"/>
      <c r="H92" s="366"/>
      <c r="I92" s="366"/>
      <c r="J92" s="366"/>
      <c r="K92" s="366"/>
      <c r="L92" s="366"/>
      <c r="M92" s="366"/>
      <c r="N92" s="366"/>
    </row>
    <row r="93" spans="1:14" x14ac:dyDescent="0.35">
      <c r="B93" s="366"/>
      <c r="C93">
        <v>2</v>
      </c>
      <c r="D93" s="372">
        <v>3.9250000000000003</v>
      </c>
      <c r="E93" s="372">
        <v>8.27</v>
      </c>
      <c r="F93" s="372">
        <v>9.9333333333333336</v>
      </c>
      <c r="G93" s="366"/>
      <c r="H93" s="366"/>
      <c r="I93" s="366"/>
      <c r="J93" s="366"/>
      <c r="K93" s="366"/>
      <c r="L93" s="366"/>
      <c r="M93" s="366"/>
      <c r="N93" s="366"/>
    </row>
    <row r="94" spans="1:14" x14ac:dyDescent="0.35">
      <c r="B94" s="366"/>
      <c r="C94">
        <v>3</v>
      </c>
      <c r="D94" s="372">
        <v>11.099999999999998</v>
      </c>
      <c r="E94" s="372">
        <v>10.926666666666668</v>
      </c>
      <c r="F94" s="372">
        <v>14.700000000000001</v>
      </c>
      <c r="G94" s="366"/>
      <c r="H94" s="366"/>
      <c r="I94" s="366"/>
      <c r="J94" s="366"/>
      <c r="K94" s="366"/>
      <c r="L94" s="366"/>
      <c r="M94" s="366"/>
      <c r="N94" s="366"/>
    </row>
    <row r="95" spans="1:14" x14ac:dyDescent="0.35">
      <c r="B95" s="366"/>
      <c r="C95">
        <v>4</v>
      </c>
      <c r="D95" s="372">
        <v>12.541666666666666</v>
      </c>
      <c r="E95" s="372">
        <v>11.617000000000001</v>
      </c>
      <c r="F95" s="372">
        <v>15.733333333333334</v>
      </c>
      <c r="G95" s="366"/>
      <c r="H95" s="366"/>
      <c r="I95" s="366"/>
      <c r="J95" s="366"/>
      <c r="K95" s="366"/>
      <c r="L95" s="366"/>
      <c r="M95" s="366"/>
      <c r="N95" s="366"/>
    </row>
    <row r="96" spans="1:14" x14ac:dyDescent="0.35">
      <c r="B96" s="366"/>
      <c r="C96">
        <v>5</v>
      </c>
      <c r="D96" s="372">
        <v>12.541666666666666</v>
      </c>
      <c r="E96" s="372">
        <v>11.617000000000001</v>
      </c>
      <c r="F96" s="372">
        <v>16.3</v>
      </c>
      <c r="G96" s="366"/>
      <c r="H96" s="366"/>
      <c r="I96" s="366"/>
      <c r="J96" s="366"/>
      <c r="K96" s="366"/>
      <c r="L96" s="366"/>
      <c r="M96" s="366"/>
      <c r="N96" s="366"/>
    </row>
    <row r="97" spans="2:14" x14ac:dyDescent="0.35">
      <c r="B97" s="366"/>
      <c r="G97" s="366"/>
      <c r="H97" s="366"/>
      <c r="I97" s="366"/>
      <c r="J97" s="366"/>
      <c r="K97" s="366"/>
      <c r="L97" s="366"/>
      <c r="M97" s="366"/>
      <c r="N97" s="366"/>
    </row>
    <row r="98" spans="2:14" x14ac:dyDescent="0.35">
      <c r="B98" s="366"/>
      <c r="G98" s="366"/>
      <c r="H98" s="366"/>
      <c r="I98" s="366"/>
      <c r="J98" s="366"/>
      <c r="K98" s="366"/>
      <c r="L98" s="366"/>
      <c r="M98" s="366"/>
      <c r="N98" s="366"/>
    </row>
    <row r="99" spans="2:14" x14ac:dyDescent="0.35">
      <c r="B99" s="366"/>
      <c r="G99" s="366"/>
      <c r="H99" s="366"/>
      <c r="I99" s="366"/>
      <c r="J99" s="366"/>
      <c r="K99" s="366"/>
      <c r="L99" s="366"/>
      <c r="M99" s="366"/>
      <c r="N99" s="366"/>
    </row>
    <row r="100" spans="2:14" x14ac:dyDescent="0.35">
      <c r="B100" s="366"/>
      <c r="G100" s="366"/>
      <c r="H100" s="366"/>
      <c r="I100" s="366"/>
      <c r="J100" s="366"/>
      <c r="K100" s="366"/>
      <c r="L100" s="366"/>
      <c r="M100" s="366"/>
      <c r="N100" s="366"/>
    </row>
    <row r="101" spans="2:14" x14ac:dyDescent="0.35">
      <c r="B101" s="366"/>
      <c r="G101" s="366"/>
      <c r="H101" s="366"/>
      <c r="I101" s="366"/>
      <c r="J101" s="366"/>
      <c r="K101" s="366"/>
      <c r="L101" s="366"/>
      <c r="M101" s="366"/>
      <c r="N101" s="366"/>
    </row>
    <row r="102" spans="2:14" x14ac:dyDescent="0.35">
      <c r="B102" s="366"/>
      <c r="C102" s="366"/>
      <c r="D102" s="366"/>
      <c r="E102" s="366"/>
      <c r="F102" s="366"/>
      <c r="G102" s="366"/>
      <c r="H102" s="366"/>
      <c r="I102" s="366"/>
      <c r="J102" s="366"/>
      <c r="K102" s="366"/>
      <c r="L102" s="366"/>
      <c r="M102" s="366"/>
      <c r="N102" s="366"/>
    </row>
    <row r="103" spans="2:14" x14ac:dyDescent="0.35">
      <c r="B103" s="366"/>
      <c r="C103" s="366"/>
      <c r="D103" s="366"/>
      <c r="E103" s="366"/>
      <c r="F103" s="366"/>
      <c r="G103" s="366"/>
      <c r="H103" s="366"/>
      <c r="I103" s="366"/>
      <c r="J103" s="366"/>
      <c r="K103" s="366"/>
      <c r="L103" s="366"/>
      <c r="M103" s="366"/>
      <c r="N103" s="366"/>
    </row>
  </sheetData>
  <mergeCells count="2">
    <mergeCell ref="D4:E4"/>
    <mergeCell ref="B45:C45"/>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08D80-0774-40FD-BE9E-4068ECEC7115}">
  <dimension ref="A2:D15"/>
  <sheetViews>
    <sheetView workbookViewId="0">
      <selection activeCell="G27" sqref="G27"/>
    </sheetView>
  </sheetViews>
  <sheetFormatPr defaultRowHeight="14.5" x14ac:dyDescent="0.35"/>
  <sheetData>
    <row r="2" spans="1:4" x14ac:dyDescent="0.35">
      <c r="A2" s="9" t="s">
        <v>675</v>
      </c>
    </row>
    <row r="4" spans="1:4" x14ac:dyDescent="0.35">
      <c r="B4" s="15">
        <v>25</v>
      </c>
    </row>
    <row r="5" spans="1:4" ht="17.5" x14ac:dyDescent="0.45">
      <c r="B5" s="15">
        <v>75</v>
      </c>
      <c r="C5" s="357">
        <f>(SUMPRODUCT(Summary!B32:B33,B4:B5))/100</f>
        <v>-2943.5811763932288</v>
      </c>
      <c r="D5" s="9" t="s">
        <v>678</v>
      </c>
    </row>
    <row r="7" spans="1:4" x14ac:dyDescent="0.35">
      <c r="A7" s="9" t="s">
        <v>674</v>
      </c>
    </row>
    <row r="9" spans="1:4" x14ac:dyDescent="0.35">
      <c r="B9" s="15">
        <v>25</v>
      </c>
    </row>
    <row r="10" spans="1:4" ht="17.5" x14ac:dyDescent="0.45">
      <c r="B10" s="15">
        <v>75</v>
      </c>
      <c r="C10" s="357">
        <f>(SUMPRODUCT(Summary!D62:D63,B9:B10))/100</f>
        <v>1536.1752551020411</v>
      </c>
      <c r="D10" s="9" t="s">
        <v>679</v>
      </c>
    </row>
    <row r="12" spans="1:4" x14ac:dyDescent="0.35">
      <c r="A12" s="9" t="s">
        <v>676</v>
      </c>
    </row>
    <row r="14" spans="1:4" x14ac:dyDescent="0.35">
      <c r="B14" s="15">
        <v>25</v>
      </c>
    </row>
    <row r="15" spans="1:4" ht="17.5" x14ac:dyDescent="0.45">
      <c r="B15" s="15">
        <v>75</v>
      </c>
      <c r="C15" s="15">
        <f>(SUMPRODUCT(Results!D107:D108,B14:B15))/100</f>
        <v>3.6889285714285722</v>
      </c>
      <c r="D15" s="9" t="s">
        <v>677</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AE66"/>
  <sheetViews>
    <sheetView topLeftCell="A5" zoomScaleNormal="100" workbookViewId="0">
      <selection activeCell="H11" sqref="H11"/>
    </sheetView>
  </sheetViews>
  <sheetFormatPr defaultColWidth="8.81640625" defaultRowHeight="14" x14ac:dyDescent="0.3"/>
  <cols>
    <col min="1" max="1" width="8.81640625" style="30"/>
    <col min="2" max="2" width="7.81640625" style="30" bestFit="1" customWidth="1"/>
    <col min="3" max="3" width="21.453125" style="30" customWidth="1"/>
    <col min="4" max="4" width="15.1796875" style="30" bestFit="1" customWidth="1"/>
    <col min="5" max="6" width="9.453125" style="30" customWidth="1"/>
    <col min="7" max="7" width="12.26953125" style="30" bestFit="1" customWidth="1"/>
    <col min="8" max="9" width="9.453125" style="30" customWidth="1"/>
    <col min="10" max="16384" width="8.81640625" style="30"/>
  </cols>
  <sheetData>
    <row r="1" spans="1:31" x14ac:dyDescent="0.3">
      <c r="A1" s="80"/>
      <c r="B1" s="80"/>
      <c r="C1" s="80"/>
      <c r="D1" s="80"/>
      <c r="E1" s="80"/>
      <c r="F1" s="80"/>
      <c r="G1" s="80"/>
      <c r="H1" s="80"/>
      <c r="I1" s="80"/>
      <c r="J1" s="80"/>
      <c r="K1" s="80"/>
      <c r="L1" s="80"/>
      <c r="M1" s="80"/>
      <c r="N1" s="80"/>
    </row>
    <row r="2" spans="1:31" x14ac:dyDescent="0.3">
      <c r="A2" s="34"/>
      <c r="B2" s="34"/>
      <c r="C2" s="34"/>
      <c r="D2" s="34"/>
      <c r="E2" s="34"/>
      <c r="F2" s="34"/>
      <c r="G2" s="34"/>
      <c r="H2" s="34"/>
      <c r="I2" s="34"/>
      <c r="J2" s="34"/>
      <c r="K2" s="34"/>
      <c r="L2" s="34"/>
      <c r="M2" s="34"/>
      <c r="N2" s="34"/>
      <c r="O2" s="81"/>
      <c r="P2" s="81"/>
      <c r="Q2" s="81"/>
      <c r="R2" s="81"/>
      <c r="S2" s="81"/>
      <c r="T2" s="81"/>
      <c r="U2" s="81"/>
      <c r="V2" s="81"/>
      <c r="W2" s="81"/>
      <c r="X2" s="81"/>
      <c r="Y2" s="81"/>
      <c r="Z2" s="81"/>
      <c r="AA2" s="81"/>
      <c r="AB2" s="81"/>
      <c r="AC2" s="81"/>
      <c r="AD2" s="81"/>
      <c r="AE2" s="81"/>
    </row>
    <row r="3" spans="1:31" x14ac:dyDescent="0.3">
      <c r="A3" s="90" t="s">
        <v>497</v>
      </c>
      <c r="B3" s="34"/>
      <c r="C3" s="34"/>
      <c r="D3" s="34"/>
      <c r="E3" s="34"/>
      <c r="F3" s="34"/>
      <c r="G3" s="34"/>
      <c r="H3" s="34"/>
      <c r="I3" s="34"/>
      <c r="J3" s="34"/>
      <c r="K3" s="34"/>
      <c r="L3" s="34"/>
      <c r="M3" s="34"/>
      <c r="N3" s="34"/>
    </row>
    <row r="4" spans="1:31" x14ac:dyDescent="0.3">
      <c r="A4" s="34"/>
      <c r="B4" s="34"/>
      <c r="C4" s="34"/>
      <c r="D4" s="34"/>
      <c r="E4" s="34"/>
      <c r="F4" s="34"/>
      <c r="G4" s="34"/>
      <c r="H4" s="34"/>
      <c r="I4" s="34"/>
      <c r="J4" s="34"/>
      <c r="K4" s="34"/>
      <c r="L4" s="34"/>
      <c r="M4" s="34"/>
    </row>
    <row r="5" spans="1:31" ht="31.5" x14ac:dyDescent="0.3">
      <c r="A5" s="34"/>
      <c r="C5" s="102"/>
      <c r="D5" s="98"/>
      <c r="E5" s="117" t="s">
        <v>498</v>
      </c>
      <c r="F5" s="118"/>
      <c r="G5" s="119" t="s">
        <v>499</v>
      </c>
      <c r="H5" s="117" t="s">
        <v>498</v>
      </c>
      <c r="I5" s="201" t="s">
        <v>500</v>
      </c>
      <c r="J5" s="201" t="s">
        <v>501</v>
      </c>
      <c r="L5" s="83"/>
      <c r="M5" s="83"/>
    </row>
    <row r="6" spans="1:31" x14ac:dyDescent="0.3">
      <c r="A6" s="34"/>
      <c r="D6" s="82"/>
      <c r="E6" s="81" t="s">
        <v>502</v>
      </c>
      <c r="F6" s="86"/>
      <c r="G6" s="87"/>
      <c r="H6" s="81" t="s">
        <v>502</v>
      </c>
      <c r="I6" s="83" t="s">
        <v>503</v>
      </c>
      <c r="J6" s="83" t="s">
        <v>504</v>
      </c>
      <c r="L6" s="83"/>
      <c r="M6" s="83"/>
    </row>
    <row r="7" spans="1:31" x14ac:dyDescent="0.3">
      <c r="A7" s="34"/>
      <c r="C7" s="116" t="s">
        <v>10</v>
      </c>
      <c r="D7" s="98" t="s">
        <v>505</v>
      </c>
      <c r="E7" s="99">
        <v>190</v>
      </c>
      <c r="F7" s="100" t="s">
        <v>111</v>
      </c>
      <c r="G7" s="98" t="s">
        <v>506</v>
      </c>
      <c r="H7" s="101">
        <f>AmmNi!D28</f>
        <v>558.82352941176475</v>
      </c>
      <c r="I7" s="101">
        <f>H7*'LCI data'!$E$18</f>
        <v>27520.538706158386</v>
      </c>
      <c r="J7" s="101">
        <f>H7*'LCI data'!$BJ$17</f>
        <v>2816.2293420167211</v>
      </c>
      <c r="L7" s="88"/>
      <c r="M7" s="88"/>
    </row>
    <row r="8" spans="1:31" ht="20" x14ac:dyDescent="0.3">
      <c r="A8" s="34"/>
      <c r="C8" s="34"/>
      <c r="D8" s="82" t="s">
        <v>507</v>
      </c>
      <c r="E8" s="81">
        <v>153</v>
      </c>
      <c r="F8" s="86" t="s">
        <v>111</v>
      </c>
      <c r="G8" s="87" t="s">
        <v>508</v>
      </c>
      <c r="H8" s="89">
        <f>E8/2.291</f>
        <v>66.783064164120475</v>
      </c>
      <c r="I8" s="84">
        <f>H8*'LCI data'!$E$22</f>
        <v>1255.9186471029793</v>
      </c>
      <c r="J8" s="84">
        <f>H8*'LCI data'!$BJ$22</f>
        <v>77.719578319025857</v>
      </c>
      <c r="L8" s="88"/>
      <c r="M8" s="88"/>
    </row>
    <row r="9" spans="1:31" x14ac:dyDescent="0.3">
      <c r="A9" s="34"/>
      <c r="C9" s="34"/>
      <c r="D9" s="82" t="s">
        <v>509</v>
      </c>
      <c r="E9" s="81">
        <v>117</v>
      </c>
      <c r="F9" s="86" t="s">
        <v>111</v>
      </c>
      <c r="G9" s="87" t="s">
        <v>510</v>
      </c>
      <c r="H9" s="89">
        <f>E9/1.205</f>
        <v>97.095435684647299</v>
      </c>
      <c r="I9" s="84">
        <f>H9*'LCI data'!$E$26</f>
        <v>546.90882996343169</v>
      </c>
      <c r="J9" s="84">
        <f>H9*'LCI data'!$BJ$26</f>
        <v>37.16770397618297</v>
      </c>
      <c r="L9" s="88"/>
      <c r="M9" s="88"/>
    </row>
    <row r="10" spans="1:31" x14ac:dyDescent="0.3">
      <c r="A10" s="34"/>
      <c r="C10" s="34"/>
      <c r="D10" s="82" t="s">
        <v>511</v>
      </c>
      <c r="E10" s="81" t="s">
        <v>27</v>
      </c>
      <c r="F10" s="86" t="s">
        <v>111</v>
      </c>
      <c r="G10" s="81" t="s">
        <v>27</v>
      </c>
      <c r="H10" s="81" t="s">
        <v>27</v>
      </c>
      <c r="I10" s="81" t="s">
        <v>27</v>
      </c>
      <c r="J10" s="81" t="s">
        <v>27</v>
      </c>
      <c r="L10" s="81"/>
      <c r="M10" s="81"/>
    </row>
    <row r="11" spans="1:31" x14ac:dyDescent="0.3">
      <c r="C11" s="34"/>
      <c r="D11" s="82" t="s">
        <v>512</v>
      </c>
      <c r="E11" s="81">
        <f>4*200</f>
        <v>800</v>
      </c>
      <c r="F11" s="86" t="s">
        <v>111</v>
      </c>
      <c r="G11" s="34" t="s">
        <v>513</v>
      </c>
      <c r="H11" s="34">
        <f>E11*4/20</f>
        <v>160</v>
      </c>
      <c r="I11" s="84">
        <f>H11*'LCI data'!$E$45</f>
        <v>44486.153950921078</v>
      </c>
      <c r="J11" s="84">
        <f>H11*'LCI data'!$BJ$45</f>
        <v>3071.9320554992746</v>
      </c>
      <c r="L11" s="88"/>
      <c r="M11" s="88"/>
    </row>
    <row r="12" spans="1:31" x14ac:dyDescent="0.3">
      <c r="C12" s="34"/>
      <c r="D12" s="111"/>
      <c r="E12" s="112"/>
      <c r="F12" s="113"/>
      <c r="G12" s="114"/>
      <c r="H12" s="114"/>
      <c r="I12" s="115"/>
      <c r="J12" s="115"/>
      <c r="L12" s="88"/>
      <c r="M12" s="88"/>
    </row>
    <row r="13" spans="1:31" x14ac:dyDescent="0.3">
      <c r="C13" s="116" t="s">
        <v>11</v>
      </c>
      <c r="D13" s="98" t="s">
        <v>505</v>
      </c>
      <c r="E13" s="99">
        <v>130</v>
      </c>
      <c r="F13" s="100" t="s">
        <v>111</v>
      </c>
      <c r="G13" s="98" t="s">
        <v>506</v>
      </c>
      <c r="H13" s="101">
        <f>AmmNi!D29</f>
        <v>382.35294117647061</v>
      </c>
      <c r="I13" s="101">
        <f>H13*'LCI data'!$E$18</f>
        <v>18829.842272634683</v>
      </c>
      <c r="J13" s="101">
        <f>H13*'LCI data'!$BJ$17</f>
        <v>1926.8937603272302</v>
      </c>
      <c r="N13" s="34"/>
    </row>
    <row r="14" spans="1:31" ht="20" x14ac:dyDescent="0.3">
      <c r="C14" s="34"/>
      <c r="D14" s="82" t="s">
        <v>507</v>
      </c>
      <c r="E14" s="81">
        <v>112</v>
      </c>
      <c r="F14" s="86" t="s">
        <v>111</v>
      </c>
      <c r="G14" s="87" t="s">
        <v>508</v>
      </c>
      <c r="H14" s="89">
        <f>E14/2.291</f>
        <v>48.886948930597995</v>
      </c>
      <c r="I14" s="84">
        <f>H14*'LCI data'!$E$22</f>
        <v>919.36528415381497</v>
      </c>
      <c r="J14" s="84">
        <f>H14*'LCI data'!$BJ$22</f>
        <v>56.892763213927431</v>
      </c>
      <c r="N14" s="34"/>
    </row>
    <row r="15" spans="1:31" x14ac:dyDescent="0.3">
      <c r="C15" s="34"/>
      <c r="D15" s="82" t="s">
        <v>509</v>
      </c>
      <c r="E15" s="81">
        <v>85</v>
      </c>
      <c r="F15" s="86" t="s">
        <v>111</v>
      </c>
      <c r="G15" s="87" t="s">
        <v>510</v>
      </c>
      <c r="H15" s="89">
        <f>E15/1.205</f>
        <v>70.53941908713692</v>
      </c>
      <c r="I15" s="84">
        <f>H15*'LCI data'!$E$26</f>
        <v>397.32692775121103</v>
      </c>
      <c r="J15" s="84">
        <f>H15*'LCI data'!$BJ$26</f>
        <v>27.002178102355145</v>
      </c>
    </row>
    <row r="16" spans="1:31" x14ac:dyDescent="0.3">
      <c r="C16" s="34"/>
      <c r="D16" s="82" t="s">
        <v>511</v>
      </c>
      <c r="E16" s="81" t="s">
        <v>27</v>
      </c>
      <c r="F16" s="86" t="s">
        <v>111</v>
      </c>
      <c r="G16" s="81" t="s">
        <v>27</v>
      </c>
      <c r="H16" s="81" t="s">
        <v>27</v>
      </c>
      <c r="I16" s="81" t="s">
        <v>27</v>
      </c>
      <c r="J16" s="81" t="s">
        <v>27</v>
      </c>
    </row>
    <row r="17" spans="1:13" x14ac:dyDescent="0.3">
      <c r="C17" s="34"/>
      <c r="D17" s="82" t="s">
        <v>512</v>
      </c>
      <c r="E17" s="81">
        <f>2*200</f>
        <v>400</v>
      </c>
      <c r="F17" s="86" t="s">
        <v>111</v>
      </c>
      <c r="G17" s="34" t="s">
        <v>513</v>
      </c>
      <c r="H17" s="34">
        <f>E17*4/20</f>
        <v>80</v>
      </c>
      <c r="I17" s="84">
        <f>H17*'LCI data'!$E$45</f>
        <v>22243.076975460539</v>
      </c>
      <c r="J17" s="84">
        <f>H17*'LCI data'!$BJ$45</f>
        <v>1535.9660277496373</v>
      </c>
    </row>
    <row r="18" spans="1:13" x14ac:dyDescent="0.3">
      <c r="C18" s="96"/>
      <c r="D18" s="111"/>
      <c r="E18" s="112"/>
      <c r="F18" s="113"/>
      <c r="G18" s="114"/>
      <c r="H18" s="114"/>
      <c r="I18" s="115"/>
      <c r="J18" s="115"/>
    </row>
    <row r="19" spans="1:13" x14ac:dyDescent="0.3">
      <c r="C19" s="90" t="s">
        <v>12</v>
      </c>
      <c r="D19" s="98" t="s">
        <v>505</v>
      </c>
      <c r="E19" s="99">
        <v>190</v>
      </c>
      <c r="F19" s="100" t="s">
        <v>111</v>
      </c>
      <c r="G19" s="98" t="s">
        <v>506</v>
      </c>
      <c r="H19" s="101">
        <f>AmmNi!D30</f>
        <v>558.82352941176475</v>
      </c>
      <c r="I19" s="101">
        <f>H19*'LCI data'!$E$18</f>
        <v>27520.538706158386</v>
      </c>
      <c r="J19" s="101">
        <f>H19*'LCI data'!$BJ$17</f>
        <v>2816.2293420167211</v>
      </c>
    </row>
    <row r="20" spans="1:13" ht="20" x14ac:dyDescent="0.3">
      <c r="D20" s="82" t="s">
        <v>507</v>
      </c>
      <c r="E20" s="81">
        <v>112</v>
      </c>
      <c r="F20" s="86" t="s">
        <v>111</v>
      </c>
      <c r="G20" s="87" t="s">
        <v>508</v>
      </c>
      <c r="H20" s="89">
        <f>E20/2.291</f>
        <v>48.886948930597995</v>
      </c>
      <c r="I20" s="84">
        <f>H20*'LCI data'!$E$22</f>
        <v>919.36528415381497</v>
      </c>
      <c r="J20" s="84">
        <f>H20*'LCI data'!$BJ$22</f>
        <v>56.892763213927431</v>
      </c>
    </row>
    <row r="21" spans="1:13" x14ac:dyDescent="0.3">
      <c r="D21" s="82" t="s">
        <v>509</v>
      </c>
      <c r="E21" s="81">
        <v>95</v>
      </c>
      <c r="F21" s="86" t="s">
        <v>111</v>
      </c>
      <c r="G21" s="87" t="s">
        <v>510</v>
      </c>
      <c r="H21" s="89">
        <f>E21/1.205</f>
        <v>78.838174273858911</v>
      </c>
      <c r="I21" s="84">
        <f>H21*'LCI data'!$E$26</f>
        <v>444.07127219252999</v>
      </c>
      <c r="J21" s="84">
        <f>H21*'LCI data'!$BJ$26</f>
        <v>30.17890493792634</v>
      </c>
    </row>
    <row r="22" spans="1:13" x14ac:dyDescent="0.3">
      <c r="D22" s="82" t="s">
        <v>511</v>
      </c>
      <c r="E22" s="81" t="s">
        <v>27</v>
      </c>
      <c r="F22" s="86" t="s">
        <v>111</v>
      </c>
      <c r="G22" s="81" t="s">
        <v>27</v>
      </c>
      <c r="H22" s="81" t="s">
        <v>27</v>
      </c>
      <c r="I22" s="81" t="s">
        <v>27</v>
      </c>
      <c r="J22" s="81" t="s">
        <v>27</v>
      </c>
      <c r="K22" s="303"/>
      <c r="L22" s="303"/>
      <c r="M22" s="303"/>
    </row>
    <row r="23" spans="1:13" x14ac:dyDescent="0.3">
      <c r="D23" s="82" t="s">
        <v>512</v>
      </c>
      <c r="E23" s="81">
        <f>2*200</f>
        <v>400</v>
      </c>
      <c r="F23" s="86" t="s">
        <v>111</v>
      </c>
      <c r="G23" s="34" t="s">
        <v>513</v>
      </c>
      <c r="H23" s="34">
        <f>E23*4/20</f>
        <v>80</v>
      </c>
      <c r="I23" s="84">
        <f>H23*'LCI data'!$E$45</f>
        <v>22243.076975460539</v>
      </c>
      <c r="J23" s="84">
        <f>H23*'LCI data'!$BJ$45</f>
        <v>1535.9660277496373</v>
      </c>
      <c r="K23" s="303"/>
      <c r="L23" s="303"/>
      <c r="M23" s="303"/>
    </row>
    <row r="24" spans="1:13" x14ac:dyDescent="0.3">
      <c r="A24" s="90"/>
      <c r="C24" s="103"/>
      <c r="D24" s="111"/>
      <c r="E24" s="112"/>
      <c r="F24" s="113"/>
      <c r="G24" s="114"/>
      <c r="H24" s="114"/>
      <c r="I24" s="115"/>
      <c r="J24" s="115"/>
      <c r="K24" s="91"/>
      <c r="L24" s="91"/>
      <c r="M24" s="91"/>
    </row>
    <row r="25" spans="1:13" x14ac:dyDescent="0.3">
      <c r="C25" s="90" t="s">
        <v>13</v>
      </c>
      <c r="D25" s="82" t="s">
        <v>505</v>
      </c>
      <c r="E25" s="81">
        <v>156</v>
      </c>
      <c r="F25" s="86" t="s">
        <v>111</v>
      </c>
      <c r="G25" s="98" t="s">
        <v>506</v>
      </c>
      <c r="H25" s="84">
        <f>AmmNi!D31</f>
        <v>458.8235294117647</v>
      </c>
      <c r="I25" s="101">
        <f>H25*'LCI data'!$E$18</f>
        <v>22595.810727161621</v>
      </c>
      <c r="J25" s="84">
        <f>H25*'LCI data'!$BJ$17</f>
        <v>2312.2725123926762</v>
      </c>
    </row>
    <row r="26" spans="1:13" ht="20" x14ac:dyDescent="0.3">
      <c r="D26" s="82" t="s">
        <v>507</v>
      </c>
      <c r="E26" s="81">
        <v>149</v>
      </c>
      <c r="F26" s="86" t="s">
        <v>111</v>
      </c>
      <c r="G26" s="87" t="s">
        <v>508</v>
      </c>
      <c r="H26" s="89">
        <f>E26/2.291</f>
        <v>65.037101702313407</v>
      </c>
      <c r="I26" s="84">
        <f>H26*'LCI data'!$E$22</f>
        <v>1223.0841726689146</v>
      </c>
      <c r="J26" s="84">
        <f>H26*'LCI data'!$BJ$22</f>
        <v>75.687693918528453</v>
      </c>
    </row>
    <row r="27" spans="1:13" x14ac:dyDescent="0.3">
      <c r="D27" s="82" t="s">
        <v>509</v>
      </c>
      <c r="E27" s="81">
        <v>320</v>
      </c>
      <c r="F27" s="86" t="s">
        <v>111</v>
      </c>
      <c r="G27" s="87" t="s">
        <v>510</v>
      </c>
      <c r="H27" s="89">
        <f>E27/1.205</f>
        <v>265.5601659751037</v>
      </c>
      <c r="I27" s="84">
        <f>H27*'LCI data'!$E$26</f>
        <v>1495.8190221222064</v>
      </c>
      <c r="J27" s="84">
        <f>H27*'LCI data'!$BJ$26</f>
        <v>101.65525873827819</v>
      </c>
    </row>
    <row r="28" spans="1:13" x14ac:dyDescent="0.3">
      <c r="D28" s="82" t="s">
        <v>511</v>
      </c>
      <c r="E28" s="81" t="s">
        <v>27</v>
      </c>
      <c r="F28" s="86" t="s">
        <v>111</v>
      </c>
      <c r="G28" s="81" t="s">
        <v>27</v>
      </c>
      <c r="H28" s="81" t="s">
        <v>27</v>
      </c>
      <c r="I28" s="81" t="s">
        <v>27</v>
      </c>
      <c r="J28" s="81" t="s">
        <v>27</v>
      </c>
    </row>
    <row r="29" spans="1:13" x14ac:dyDescent="0.3">
      <c r="D29" s="82" t="s">
        <v>512</v>
      </c>
      <c r="E29" s="81">
        <f>3*200</f>
        <v>600</v>
      </c>
      <c r="F29" s="86" t="s">
        <v>111</v>
      </c>
      <c r="G29" s="34" t="s">
        <v>513</v>
      </c>
      <c r="H29" s="34">
        <f>E29*4/20</f>
        <v>120</v>
      </c>
      <c r="I29" s="84">
        <f>H29*'LCI data'!$E$45</f>
        <v>33364.615463190807</v>
      </c>
      <c r="J29" s="84">
        <f>H29*'LCI data'!$BJ$45</f>
        <v>2303.9490416244562</v>
      </c>
    </row>
    <row r="30" spans="1:13" x14ac:dyDescent="0.3">
      <c r="C30" s="103"/>
      <c r="D30" s="111"/>
      <c r="E30" s="112"/>
      <c r="F30" s="113"/>
      <c r="G30" s="114"/>
      <c r="H30" s="114"/>
      <c r="I30" s="115"/>
      <c r="J30" s="115"/>
    </row>
    <row r="31" spans="1:13" x14ac:dyDescent="0.3">
      <c r="C31" s="90" t="s">
        <v>14</v>
      </c>
      <c r="D31" s="82" t="s">
        <v>505</v>
      </c>
      <c r="E31" s="81">
        <v>150</v>
      </c>
      <c r="F31" s="86" t="s">
        <v>111</v>
      </c>
      <c r="G31" s="98" t="s">
        <v>506</v>
      </c>
      <c r="H31" s="84">
        <f>AmmNi!D32</f>
        <v>441.1764705882353</v>
      </c>
      <c r="I31" s="84">
        <f>H31*'LCI data'!$E$18</f>
        <v>21726.741083809251</v>
      </c>
      <c r="J31" s="84">
        <f>H31*'LCI data'!$BJ$17</f>
        <v>2223.3389542237273</v>
      </c>
    </row>
    <row r="32" spans="1:13" ht="20" x14ac:dyDescent="0.3">
      <c r="D32" s="82" t="s">
        <v>507</v>
      </c>
      <c r="E32" s="81">
        <v>115</v>
      </c>
      <c r="F32" s="86" t="s">
        <v>111</v>
      </c>
      <c r="G32" s="87" t="s">
        <v>508</v>
      </c>
      <c r="H32" s="89">
        <f>E32/2.291</f>
        <v>50.196420776953296</v>
      </c>
      <c r="I32" s="84">
        <f>H32*'LCI data'!$E$22</f>
        <v>943.99113997936342</v>
      </c>
      <c r="J32" s="84">
        <f>H32*'LCI data'!$BJ$22</f>
        <v>58.416676514300484</v>
      </c>
    </row>
    <row r="33" spans="3:10" x14ac:dyDescent="0.3">
      <c r="D33" s="82" t="s">
        <v>509</v>
      </c>
      <c r="E33" s="81">
        <v>235</v>
      </c>
      <c r="F33" s="86" t="s">
        <v>111</v>
      </c>
      <c r="G33" s="87" t="s">
        <v>510</v>
      </c>
      <c r="H33" s="89">
        <f>E33/1.205</f>
        <v>195.02074688796679</v>
      </c>
      <c r="I33" s="84">
        <f>H33*'LCI data'!$E$26</f>
        <v>1098.4920943709953</v>
      </c>
      <c r="J33" s="84">
        <f>H33*'LCI data'!$BJ$26</f>
        <v>74.653080635923061</v>
      </c>
    </row>
    <row r="34" spans="3:10" x14ac:dyDescent="0.3">
      <c r="D34" s="82" t="s">
        <v>511</v>
      </c>
      <c r="E34" s="81" t="s">
        <v>27</v>
      </c>
      <c r="F34" s="86" t="s">
        <v>111</v>
      </c>
      <c r="G34" s="81" t="s">
        <v>27</v>
      </c>
      <c r="H34" s="81" t="s">
        <v>27</v>
      </c>
      <c r="I34" s="81" t="s">
        <v>27</v>
      </c>
      <c r="J34" s="81" t="s">
        <v>27</v>
      </c>
    </row>
    <row r="35" spans="3:10" x14ac:dyDescent="0.3">
      <c r="D35" s="82" t="s">
        <v>512</v>
      </c>
      <c r="E35" s="81">
        <f>3*200</f>
        <v>600</v>
      </c>
      <c r="F35" s="86" t="s">
        <v>111</v>
      </c>
      <c r="G35" s="34" t="s">
        <v>513</v>
      </c>
      <c r="H35" s="34">
        <f>E35*4/20</f>
        <v>120</v>
      </c>
      <c r="I35" s="84">
        <f>H35*'LCI data'!$E$45</f>
        <v>33364.615463190807</v>
      </c>
      <c r="J35" s="84">
        <f>H35*'LCI data'!$BJ$45</f>
        <v>2303.9490416244562</v>
      </c>
    </row>
    <row r="36" spans="3:10" x14ac:dyDescent="0.3">
      <c r="C36" s="103"/>
      <c r="D36" s="111"/>
      <c r="E36" s="112"/>
      <c r="F36" s="113"/>
      <c r="G36" s="114"/>
      <c r="H36" s="114"/>
      <c r="I36" s="115"/>
      <c r="J36" s="115"/>
    </row>
    <row r="37" spans="3:10" x14ac:dyDescent="0.3">
      <c r="C37" s="90" t="s">
        <v>26</v>
      </c>
      <c r="D37" s="82" t="s">
        <v>505</v>
      </c>
      <c r="E37" s="81">
        <v>90</v>
      </c>
      <c r="F37" s="86" t="s">
        <v>111</v>
      </c>
      <c r="G37" s="98" t="s">
        <v>506</v>
      </c>
      <c r="H37" s="84">
        <f>AmmNi!D33</f>
        <v>264.70588235294116</v>
      </c>
      <c r="I37" s="84">
        <f>H37*'LCI data'!$E$18</f>
        <v>13036.04465028555</v>
      </c>
      <c r="J37" s="84">
        <f>H37*'LCI data'!$BJ$17</f>
        <v>1334.0033725342362</v>
      </c>
    </row>
    <row r="38" spans="3:10" ht="20" x14ac:dyDescent="0.3">
      <c r="D38" s="82" t="s">
        <v>507</v>
      </c>
      <c r="E38" s="81">
        <v>55</v>
      </c>
      <c r="F38" s="86" t="s">
        <v>111</v>
      </c>
      <c r="G38" s="87" t="s">
        <v>508</v>
      </c>
      <c r="H38" s="89">
        <f>E38/2.291</f>
        <v>24.006983849847231</v>
      </c>
      <c r="I38" s="84">
        <f>H38*'LCI data'!$E$22</f>
        <v>451.47402346839129</v>
      </c>
      <c r="J38" s="84">
        <f>H38*'LCI data'!$BJ$22</f>
        <v>27.938410506839364</v>
      </c>
    </row>
    <row r="39" spans="3:10" x14ac:dyDescent="0.3">
      <c r="D39" s="82" t="s">
        <v>509</v>
      </c>
      <c r="E39" s="81">
        <v>72</v>
      </c>
      <c r="F39" s="86" t="s">
        <v>111</v>
      </c>
      <c r="G39" s="87" t="s">
        <v>510</v>
      </c>
      <c r="H39" s="89">
        <f>E39/1.205</f>
        <v>59.751037344398334</v>
      </c>
      <c r="I39" s="84">
        <f>H39*'LCI data'!$E$26</f>
        <v>336.55927997749643</v>
      </c>
      <c r="J39" s="84">
        <f>H39*'LCI data'!$BJ$26</f>
        <v>22.872433216112594</v>
      </c>
    </row>
    <row r="40" spans="3:10" x14ac:dyDescent="0.3">
      <c r="D40" s="82" t="s">
        <v>511</v>
      </c>
      <c r="E40" s="81" t="s">
        <v>27</v>
      </c>
      <c r="F40" s="86" t="s">
        <v>111</v>
      </c>
      <c r="G40" s="81" t="s">
        <v>27</v>
      </c>
      <c r="H40" s="81" t="s">
        <v>27</v>
      </c>
      <c r="I40" s="81" t="s">
        <v>27</v>
      </c>
      <c r="J40" s="81" t="s">
        <v>27</v>
      </c>
    </row>
    <row r="41" spans="3:10" x14ac:dyDescent="0.3">
      <c r="D41" s="82" t="s">
        <v>512</v>
      </c>
      <c r="E41" s="81">
        <f>4*200</f>
        <v>800</v>
      </c>
      <c r="F41" s="86" t="s">
        <v>111</v>
      </c>
      <c r="G41" s="34" t="s">
        <v>513</v>
      </c>
      <c r="H41" s="34">
        <f>E41*4/20</f>
        <v>160</v>
      </c>
      <c r="I41" s="84">
        <f>H41*'LCI data'!$E$45</f>
        <v>44486.153950921078</v>
      </c>
      <c r="J41" s="84">
        <f>H41*'LCI data'!$BJ$45</f>
        <v>3071.9320554992746</v>
      </c>
    </row>
    <row r="42" spans="3:10" x14ac:dyDescent="0.3">
      <c r="C42" s="103"/>
      <c r="D42" s="111"/>
      <c r="E42" s="112"/>
      <c r="F42" s="113"/>
      <c r="G42" s="114"/>
      <c r="H42" s="114"/>
      <c r="I42" s="115"/>
      <c r="J42" s="115"/>
    </row>
    <row r="43" spans="3:10" x14ac:dyDescent="0.3">
      <c r="C43" s="90" t="s">
        <v>28</v>
      </c>
      <c r="D43" s="82" t="s">
        <v>505</v>
      </c>
      <c r="E43" s="81">
        <v>84</v>
      </c>
      <c r="F43" s="86" t="s">
        <v>111</v>
      </c>
      <c r="G43" s="98" t="s">
        <v>506</v>
      </c>
      <c r="H43" s="84">
        <f>AmmNi!D34</f>
        <v>247.05882352941177</v>
      </c>
      <c r="I43" s="84">
        <f>H43*'LCI data'!$E$18</f>
        <v>12166.97500693318</v>
      </c>
      <c r="J43" s="84">
        <f>H43*'LCI data'!$BJ$17</f>
        <v>1245.0698143652871</v>
      </c>
    </row>
    <row r="44" spans="3:10" ht="20" x14ac:dyDescent="0.3">
      <c r="D44" s="82" t="s">
        <v>507</v>
      </c>
      <c r="E44" s="81">
        <v>14</v>
      </c>
      <c r="F44" s="86" t="s">
        <v>111</v>
      </c>
      <c r="G44" s="87" t="s">
        <v>508</v>
      </c>
      <c r="H44" s="89">
        <f>E44/2.291</f>
        <v>6.1108686163247494</v>
      </c>
      <c r="I44" s="84">
        <f>H44*'LCI data'!$E$22</f>
        <v>114.92066051922687</v>
      </c>
      <c r="J44" s="84">
        <f>H44*'LCI data'!$BJ$22</f>
        <v>7.1115954017409289</v>
      </c>
    </row>
    <row r="45" spans="3:10" x14ac:dyDescent="0.3">
      <c r="D45" s="82" t="s">
        <v>509</v>
      </c>
      <c r="E45" s="81">
        <v>120</v>
      </c>
      <c r="F45" s="86" t="s">
        <v>111</v>
      </c>
      <c r="G45" s="87" t="s">
        <v>510</v>
      </c>
      <c r="H45" s="89">
        <f>E45/1.205</f>
        <v>99.585062240663888</v>
      </c>
      <c r="I45" s="84">
        <f>H45*'LCI data'!$E$26</f>
        <v>560.93213329582738</v>
      </c>
      <c r="J45" s="84">
        <f>H45*'LCI data'!$BJ$26</f>
        <v>38.120722026854324</v>
      </c>
    </row>
    <row r="46" spans="3:10" x14ac:dyDescent="0.3">
      <c r="D46" s="82" t="s">
        <v>511</v>
      </c>
      <c r="E46" s="81" t="s">
        <v>27</v>
      </c>
      <c r="F46" s="86" t="s">
        <v>111</v>
      </c>
      <c r="G46" s="81" t="s">
        <v>27</v>
      </c>
      <c r="H46" s="81" t="s">
        <v>27</v>
      </c>
      <c r="I46" s="81" t="s">
        <v>27</v>
      </c>
      <c r="J46" s="81" t="s">
        <v>27</v>
      </c>
    </row>
    <row r="47" spans="3:10" x14ac:dyDescent="0.3">
      <c r="D47" s="82" t="s">
        <v>512</v>
      </c>
      <c r="E47" s="81">
        <f>4*200</f>
        <v>800</v>
      </c>
      <c r="F47" s="86" t="s">
        <v>111</v>
      </c>
      <c r="G47" s="34" t="s">
        <v>513</v>
      </c>
      <c r="H47" s="34">
        <f>E47*4/20</f>
        <v>160</v>
      </c>
      <c r="I47" s="84">
        <f>H47*'LCI data'!$E$45</f>
        <v>44486.153950921078</v>
      </c>
      <c r="J47" s="84">
        <f>H47*'LCI data'!$BJ$45</f>
        <v>3071.9320554992746</v>
      </c>
    </row>
    <row r="48" spans="3:10" x14ac:dyDescent="0.3">
      <c r="C48" s="103"/>
      <c r="D48" s="111"/>
      <c r="E48" s="112"/>
      <c r="F48" s="113"/>
      <c r="G48" s="114"/>
      <c r="H48" s="114"/>
      <c r="I48" s="115"/>
      <c r="J48" s="115"/>
    </row>
    <row r="49" spans="3:10" x14ac:dyDescent="0.3">
      <c r="C49" s="90" t="s">
        <v>29</v>
      </c>
      <c r="D49" s="82" t="s">
        <v>505</v>
      </c>
      <c r="E49" s="81">
        <v>100</v>
      </c>
      <c r="F49" s="86" t="s">
        <v>111</v>
      </c>
      <c r="G49" s="98" t="s">
        <v>506</v>
      </c>
      <c r="H49" s="84">
        <f>AmmNi!D35</f>
        <v>294.11764705882354</v>
      </c>
      <c r="I49" s="84">
        <f>H49*'LCI data'!$E$18</f>
        <v>14484.494055872834</v>
      </c>
      <c r="J49" s="84">
        <f>H49*'LCI data'!$BJ$17</f>
        <v>1482.2259694824847</v>
      </c>
    </row>
    <row r="50" spans="3:10" ht="20" x14ac:dyDescent="0.3">
      <c r="D50" s="82" t="s">
        <v>507</v>
      </c>
      <c r="E50" s="81">
        <v>92</v>
      </c>
      <c r="F50" s="86" t="s">
        <v>111</v>
      </c>
      <c r="G50" s="87" t="s">
        <v>508</v>
      </c>
      <c r="H50" s="89">
        <f>E50/2.291</f>
        <v>40.157136621562636</v>
      </c>
      <c r="I50" s="84">
        <f>H50*'LCI data'!$E$22</f>
        <v>755.19291198349072</v>
      </c>
      <c r="J50" s="84">
        <f>H50*'LCI data'!$BJ$22</f>
        <v>46.733341211440383</v>
      </c>
    </row>
    <row r="51" spans="3:10" x14ac:dyDescent="0.3">
      <c r="D51" s="82" t="s">
        <v>509</v>
      </c>
      <c r="E51" s="81">
        <v>84</v>
      </c>
      <c r="F51" s="86" t="s">
        <v>111</v>
      </c>
      <c r="G51" s="87" t="s">
        <v>510</v>
      </c>
      <c r="H51" s="89">
        <f>E51/1.205</f>
        <v>69.709543568464724</v>
      </c>
      <c r="I51" s="84">
        <f>H51*'LCI data'!$E$26</f>
        <v>392.65249330707917</v>
      </c>
      <c r="J51" s="84">
        <f>H51*'LCI data'!$BJ$26</f>
        <v>26.684505418798029</v>
      </c>
    </row>
    <row r="52" spans="3:10" x14ac:dyDescent="0.3">
      <c r="D52" s="82" t="s">
        <v>511</v>
      </c>
      <c r="E52" s="81" t="s">
        <v>27</v>
      </c>
      <c r="F52" s="86" t="s">
        <v>111</v>
      </c>
      <c r="G52" s="81" t="s">
        <v>27</v>
      </c>
      <c r="H52" s="81" t="s">
        <v>27</v>
      </c>
      <c r="I52" s="81" t="s">
        <v>27</v>
      </c>
      <c r="J52" s="81" t="s">
        <v>27</v>
      </c>
    </row>
    <row r="53" spans="3:10" x14ac:dyDescent="0.3">
      <c r="D53" s="82" t="s">
        <v>512</v>
      </c>
      <c r="E53" s="81">
        <f>2*200</f>
        <v>400</v>
      </c>
      <c r="F53" s="86" t="s">
        <v>111</v>
      </c>
      <c r="G53" s="34" t="s">
        <v>513</v>
      </c>
      <c r="H53" s="34">
        <f>E53*4/20</f>
        <v>80</v>
      </c>
      <c r="I53" s="84">
        <f>H53*'LCI data'!$E$45</f>
        <v>22243.076975460539</v>
      </c>
      <c r="J53" s="84">
        <f>H53*'LCI data'!$BJ$45</f>
        <v>1535.9660277496373</v>
      </c>
    </row>
    <row r="54" spans="3:10" x14ac:dyDescent="0.3">
      <c r="C54" s="103"/>
      <c r="D54" s="111"/>
      <c r="E54" s="112"/>
      <c r="F54" s="113"/>
      <c r="G54" s="114"/>
      <c r="H54" s="114"/>
      <c r="I54" s="115"/>
      <c r="J54" s="115"/>
    </row>
    <row r="55" spans="3:10" x14ac:dyDescent="0.3">
      <c r="C55" s="90" t="s">
        <v>30</v>
      </c>
      <c r="D55" s="82" t="s">
        <v>505</v>
      </c>
      <c r="E55" s="81">
        <v>120</v>
      </c>
      <c r="F55" s="86" t="s">
        <v>111</v>
      </c>
      <c r="G55" s="98" t="s">
        <v>506</v>
      </c>
      <c r="H55" s="84">
        <f>AmmNi!D36</f>
        <v>352.94117647058823</v>
      </c>
      <c r="I55" s="84">
        <f>H55*'LCI data'!$E$18</f>
        <v>17381.392867047402</v>
      </c>
      <c r="J55" s="84">
        <f>H55*'LCI data'!$BJ$17</f>
        <v>1778.6711633789816</v>
      </c>
    </row>
    <row r="56" spans="3:10" ht="20" x14ac:dyDescent="0.3">
      <c r="D56" s="82" t="s">
        <v>507</v>
      </c>
      <c r="E56" s="81">
        <v>92</v>
      </c>
      <c r="F56" s="86" t="s">
        <v>111</v>
      </c>
      <c r="G56" s="87" t="s">
        <v>508</v>
      </c>
      <c r="H56" s="89">
        <f>E56/2.291</f>
        <v>40.157136621562636</v>
      </c>
      <c r="I56" s="84">
        <f>H56*'LCI data'!$E$22</f>
        <v>755.19291198349072</v>
      </c>
      <c r="J56" s="84">
        <f>H56*'LCI data'!$BJ$22</f>
        <v>46.733341211440383</v>
      </c>
    </row>
    <row r="57" spans="3:10" x14ac:dyDescent="0.3">
      <c r="D57" s="82" t="s">
        <v>509</v>
      </c>
      <c r="E57" s="81">
        <v>90</v>
      </c>
      <c r="F57" s="86" t="s">
        <v>111</v>
      </c>
      <c r="G57" s="87" t="s">
        <v>510</v>
      </c>
      <c r="H57" s="89">
        <f>E57/1.205</f>
        <v>74.688796680497916</v>
      </c>
      <c r="I57" s="84">
        <f>H57*'LCI data'!$E$26</f>
        <v>420.69909997187051</v>
      </c>
      <c r="J57" s="84">
        <f>H57*'LCI data'!$BJ$26</f>
        <v>28.590541520140743</v>
      </c>
    </row>
    <row r="58" spans="3:10" x14ac:dyDescent="0.3">
      <c r="D58" s="82" t="s">
        <v>511</v>
      </c>
      <c r="E58" s="81" t="s">
        <v>27</v>
      </c>
      <c r="F58" s="86" t="s">
        <v>111</v>
      </c>
      <c r="G58" s="81" t="s">
        <v>27</v>
      </c>
      <c r="H58" s="81" t="s">
        <v>27</v>
      </c>
      <c r="I58" s="81" t="s">
        <v>27</v>
      </c>
      <c r="J58" s="81" t="s">
        <v>27</v>
      </c>
    </row>
    <row r="59" spans="3:10" x14ac:dyDescent="0.3">
      <c r="D59" s="82" t="s">
        <v>512</v>
      </c>
      <c r="E59" s="81">
        <f>2*200</f>
        <v>400</v>
      </c>
      <c r="F59" s="86" t="s">
        <v>111</v>
      </c>
      <c r="G59" s="34" t="s">
        <v>513</v>
      </c>
      <c r="H59" s="34">
        <f>E59*4/20</f>
        <v>80</v>
      </c>
      <c r="I59" s="84">
        <f>H59*'LCI data'!$E$45</f>
        <v>22243.076975460539</v>
      </c>
      <c r="J59" s="84">
        <f>H59*'LCI data'!$BJ$45</f>
        <v>1535.9660277496373</v>
      </c>
    </row>
    <row r="60" spans="3:10" x14ac:dyDescent="0.3">
      <c r="C60" s="103"/>
      <c r="D60" s="111"/>
      <c r="E60" s="112"/>
      <c r="F60" s="113"/>
      <c r="G60" s="114"/>
      <c r="H60" s="114"/>
      <c r="I60" s="115"/>
      <c r="J60" s="115"/>
    </row>
    <row r="62" spans="3:10" x14ac:dyDescent="0.3">
      <c r="D62" s="82"/>
      <c r="E62" s="81"/>
      <c r="F62" s="86"/>
      <c r="G62" s="82"/>
      <c r="H62" s="34"/>
      <c r="I62" s="84"/>
      <c r="J62" s="84"/>
    </row>
    <row r="63" spans="3:10" x14ac:dyDescent="0.3">
      <c r="D63" s="82"/>
      <c r="E63" s="81"/>
      <c r="F63" s="86"/>
      <c r="G63" s="87"/>
      <c r="H63" s="89"/>
      <c r="I63" s="84"/>
      <c r="J63" s="84"/>
    </row>
    <row r="64" spans="3:10" x14ac:dyDescent="0.3">
      <c r="D64" s="82"/>
      <c r="E64" s="81"/>
      <c r="F64" s="86"/>
      <c r="G64" s="87"/>
      <c r="H64" s="89"/>
      <c r="I64" s="84"/>
      <c r="J64" s="84"/>
    </row>
    <row r="65" spans="4:10" x14ac:dyDescent="0.3">
      <c r="D65" s="82"/>
      <c r="E65" s="81"/>
      <c r="F65" s="86"/>
      <c r="G65" s="81"/>
      <c r="H65" s="81"/>
      <c r="I65" s="81"/>
      <c r="J65" s="81"/>
    </row>
    <row r="66" spans="4:10" x14ac:dyDescent="0.3">
      <c r="D66" s="82"/>
      <c r="E66" s="81"/>
      <c r="F66" s="86"/>
      <c r="G66" s="34"/>
      <c r="H66" s="34"/>
      <c r="I66" s="84"/>
      <c r="J66" s="84"/>
    </row>
  </sheetData>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3:CF45"/>
  <sheetViews>
    <sheetView zoomScale="110" zoomScaleNormal="110" workbookViewId="0">
      <selection activeCell="F45" sqref="F45"/>
    </sheetView>
  </sheetViews>
  <sheetFormatPr defaultColWidth="8.81640625" defaultRowHeight="14.5" x14ac:dyDescent="0.35"/>
  <cols>
    <col min="1" max="1" width="31" style="61" customWidth="1"/>
    <col min="2" max="2" width="23.54296875" style="62" customWidth="1"/>
    <col min="3" max="16384" width="8.81640625" style="62"/>
  </cols>
  <sheetData>
    <row r="3" spans="1:84" x14ac:dyDescent="0.35">
      <c r="A3" s="61" t="s">
        <v>514</v>
      </c>
    </row>
    <row r="4" spans="1:84" x14ac:dyDescent="0.35">
      <c r="A4" s="63" t="s">
        <v>515</v>
      </c>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row>
    <row r="5" spans="1:84" x14ac:dyDescent="0.35">
      <c r="A5" s="63"/>
      <c r="B5" s="64"/>
      <c r="C5" s="64"/>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row>
    <row r="6" spans="1:84" x14ac:dyDescent="0.35">
      <c r="A6" s="63">
        <f>COLUMN()</f>
        <v>1</v>
      </c>
      <c r="B6" s="64">
        <f>COLUMN()</f>
        <v>2</v>
      </c>
      <c r="C6" s="64">
        <f>COLUMN()</f>
        <v>3</v>
      </c>
      <c r="D6" s="64">
        <f>COLUMN()</f>
        <v>4</v>
      </c>
      <c r="E6" s="64">
        <f>COLUMN()</f>
        <v>5</v>
      </c>
      <c r="F6" s="64">
        <f>COLUMN()</f>
        <v>6</v>
      </c>
      <c r="G6" s="64">
        <f>COLUMN()</f>
        <v>7</v>
      </c>
      <c r="H6" s="64">
        <f>COLUMN()</f>
        <v>8</v>
      </c>
      <c r="I6" s="64">
        <f>COLUMN()</f>
        <v>9</v>
      </c>
      <c r="J6" s="64">
        <f>COLUMN()</f>
        <v>10</v>
      </c>
      <c r="K6" s="64">
        <f>COLUMN()</f>
        <v>11</v>
      </c>
      <c r="L6" s="64">
        <f>COLUMN()</f>
        <v>12</v>
      </c>
      <c r="M6" s="64">
        <f>COLUMN()</f>
        <v>13</v>
      </c>
      <c r="N6" s="64">
        <f>COLUMN()</f>
        <v>14</v>
      </c>
      <c r="O6" s="64">
        <f>COLUMN()</f>
        <v>15</v>
      </c>
      <c r="P6" s="64">
        <f>COLUMN()</f>
        <v>16</v>
      </c>
      <c r="Q6" s="64">
        <f>COLUMN()</f>
        <v>17</v>
      </c>
      <c r="R6" s="64">
        <f>COLUMN()</f>
        <v>18</v>
      </c>
      <c r="S6" s="64">
        <f>COLUMN()</f>
        <v>19</v>
      </c>
      <c r="T6" s="64">
        <f>COLUMN()</f>
        <v>20</v>
      </c>
      <c r="U6" s="64">
        <f>COLUMN()</f>
        <v>21</v>
      </c>
      <c r="V6" s="64">
        <f>COLUMN()</f>
        <v>22</v>
      </c>
      <c r="W6" s="64">
        <f>COLUMN()</f>
        <v>23</v>
      </c>
      <c r="X6" s="64">
        <f>COLUMN()</f>
        <v>24</v>
      </c>
      <c r="Y6" s="64">
        <f>COLUMN()</f>
        <v>25</v>
      </c>
      <c r="Z6" s="64">
        <f>COLUMN()</f>
        <v>26</v>
      </c>
      <c r="AA6" s="64">
        <f>COLUMN()</f>
        <v>27</v>
      </c>
      <c r="AB6" s="64">
        <f>COLUMN()</f>
        <v>28</v>
      </c>
      <c r="AC6" s="64">
        <f>COLUMN()</f>
        <v>29</v>
      </c>
      <c r="AD6" s="64">
        <f>COLUMN()</f>
        <v>30</v>
      </c>
      <c r="AE6" s="64">
        <f>COLUMN()</f>
        <v>31</v>
      </c>
      <c r="AF6" s="64">
        <f>COLUMN()</f>
        <v>32</v>
      </c>
      <c r="AG6" s="64">
        <f>COLUMN()</f>
        <v>33</v>
      </c>
      <c r="AH6" s="64">
        <f>COLUMN()</f>
        <v>34</v>
      </c>
      <c r="AI6" s="64">
        <f>COLUMN()</f>
        <v>35</v>
      </c>
      <c r="AJ6" s="64">
        <f>COLUMN()</f>
        <v>36</v>
      </c>
      <c r="AK6" s="64">
        <f>COLUMN()</f>
        <v>37</v>
      </c>
      <c r="AL6" s="64">
        <f>COLUMN()</f>
        <v>38</v>
      </c>
      <c r="AM6" s="64">
        <f>COLUMN()</f>
        <v>39</v>
      </c>
      <c r="AN6" s="64">
        <f>COLUMN()</f>
        <v>40</v>
      </c>
      <c r="AO6" s="64">
        <f>COLUMN()</f>
        <v>41</v>
      </c>
      <c r="AP6" s="64">
        <f>COLUMN()</f>
        <v>42</v>
      </c>
      <c r="AQ6" s="64">
        <f>COLUMN()</f>
        <v>43</v>
      </c>
      <c r="AR6" s="64">
        <f>COLUMN()</f>
        <v>44</v>
      </c>
      <c r="AS6" s="64">
        <f>COLUMN()</f>
        <v>45</v>
      </c>
      <c r="AT6" s="64">
        <f>COLUMN()</f>
        <v>46</v>
      </c>
      <c r="AU6" s="64">
        <f>COLUMN()</f>
        <v>47</v>
      </c>
      <c r="AV6" s="64">
        <f>COLUMN()</f>
        <v>48</v>
      </c>
      <c r="AW6" s="64">
        <f>COLUMN()</f>
        <v>49</v>
      </c>
      <c r="AX6" s="64">
        <f>COLUMN()</f>
        <v>50</v>
      </c>
      <c r="AY6" s="64">
        <f>COLUMN()</f>
        <v>51</v>
      </c>
      <c r="AZ6" s="64">
        <f>COLUMN()</f>
        <v>52</v>
      </c>
      <c r="BA6" s="64">
        <f>COLUMN()</f>
        <v>53</v>
      </c>
      <c r="BB6" s="64">
        <f>COLUMN()</f>
        <v>54</v>
      </c>
      <c r="BC6" s="64">
        <f>COLUMN()</f>
        <v>55</v>
      </c>
      <c r="BD6" s="64">
        <f>COLUMN()</f>
        <v>56</v>
      </c>
      <c r="BE6" s="64">
        <f>COLUMN()</f>
        <v>57</v>
      </c>
      <c r="BF6" s="64">
        <f>COLUMN()</f>
        <v>58</v>
      </c>
      <c r="BG6" s="64">
        <f>COLUMN()</f>
        <v>59</v>
      </c>
      <c r="BH6" s="64">
        <f>COLUMN()</f>
        <v>60</v>
      </c>
      <c r="BI6" s="64">
        <f>COLUMN()</f>
        <v>61</v>
      </c>
      <c r="BJ6" s="64">
        <f>COLUMN()</f>
        <v>62</v>
      </c>
      <c r="BK6" s="64">
        <f>COLUMN()</f>
        <v>63</v>
      </c>
      <c r="BL6" s="64">
        <f>COLUMN()</f>
        <v>64</v>
      </c>
      <c r="BM6" s="64">
        <f>COLUMN()</f>
        <v>65</v>
      </c>
      <c r="BN6" s="64">
        <f>COLUMN()</f>
        <v>66</v>
      </c>
      <c r="BO6" s="64">
        <f>COLUMN()</f>
        <v>67</v>
      </c>
      <c r="BP6" s="64">
        <f>COLUMN()</f>
        <v>68</v>
      </c>
      <c r="BQ6" s="64">
        <f>COLUMN()</f>
        <v>69</v>
      </c>
      <c r="BR6" s="64">
        <f>COLUMN()</f>
        <v>70</v>
      </c>
      <c r="BS6" s="64">
        <f>COLUMN()</f>
        <v>71</v>
      </c>
      <c r="BT6" s="64">
        <f>COLUMN()</f>
        <v>72</v>
      </c>
      <c r="BU6" s="64">
        <f>COLUMN()</f>
        <v>73</v>
      </c>
      <c r="BV6" s="64">
        <f>COLUMN()</f>
        <v>74</v>
      </c>
      <c r="BW6" s="64">
        <f>COLUMN()</f>
        <v>75</v>
      </c>
      <c r="BX6" s="64">
        <f>COLUMN()</f>
        <v>76</v>
      </c>
      <c r="BY6" s="64">
        <f>COLUMN()</f>
        <v>77</v>
      </c>
      <c r="BZ6" s="64">
        <f>COLUMN()</f>
        <v>78</v>
      </c>
      <c r="CA6" s="64">
        <f>COLUMN()</f>
        <v>79</v>
      </c>
      <c r="CB6" s="64">
        <f>COLUMN()</f>
        <v>80</v>
      </c>
      <c r="CC6" s="64">
        <f>COLUMN()</f>
        <v>81</v>
      </c>
      <c r="CD6" s="64">
        <f>COLUMN()</f>
        <v>82</v>
      </c>
      <c r="CE6" s="64">
        <f>COLUMN()</f>
        <v>83</v>
      </c>
      <c r="CF6" s="62">
        <f>COLUMN()</f>
        <v>84</v>
      </c>
    </row>
    <row r="7" spans="1:84" ht="54.5" x14ac:dyDescent="0.35">
      <c r="A7" s="65" t="s">
        <v>516</v>
      </c>
      <c r="B7" s="66" t="s">
        <v>517</v>
      </c>
      <c r="C7" s="66" t="s">
        <v>498</v>
      </c>
      <c r="D7" s="66" t="s">
        <v>518</v>
      </c>
      <c r="E7" s="66" t="s">
        <v>519</v>
      </c>
      <c r="F7" s="66" t="s">
        <v>520</v>
      </c>
      <c r="G7" s="66" t="s">
        <v>521</v>
      </c>
      <c r="H7" s="66" t="s">
        <v>522</v>
      </c>
      <c r="I7" s="66" t="s">
        <v>523</v>
      </c>
      <c r="J7" s="66" t="s">
        <v>524</v>
      </c>
      <c r="K7" s="66" t="s">
        <v>525</v>
      </c>
      <c r="L7" s="66" t="s">
        <v>526</v>
      </c>
      <c r="M7" s="66" t="s">
        <v>527</v>
      </c>
      <c r="N7" s="66" t="s">
        <v>528</v>
      </c>
      <c r="O7" s="66" t="s">
        <v>529</v>
      </c>
      <c r="P7" s="66" t="s">
        <v>530</v>
      </c>
      <c r="Q7" s="66" t="s">
        <v>531</v>
      </c>
      <c r="R7" s="66" t="s">
        <v>532</v>
      </c>
      <c r="S7" s="66" t="s">
        <v>533</v>
      </c>
      <c r="T7" s="67" t="s">
        <v>534</v>
      </c>
      <c r="U7" s="67" t="s">
        <v>535</v>
      </c>
      <c r="V7" s="67" t="s">
        <v>536</v>
      </c>
      <c r="W7" s="67" t="s">
        <v>537</v>
      </c>
      <c r="X7" s="67" t="s">
        <v>538</v>
      </c>
      <c r="Y7" s="67" t="s">
        <v>539</v>
      </c>
      <c r="Z7" s="68" t="s">
        <v>540</v>
      </c>
      <c r="AA7" s="68" t="s">
        <v>541</v>
      </c>
      <c r="AB7" s="68" t="s">
        <v>542</v>
      </c>
      <c r="AC7" s="68" t="s">
        <v>543</v>
      </c>
      <c r="AD7" s="68" t="s">
        <v>544</v>
      </c>
      <c r="AE7" s="68" t="s">
        <v>545</v>
      </c>
      <c r="AF7" s="66" t="s">
        <v>546</v>
      </c>
      <c r="AG7" s="66" t="s">
        <v>547</v>
      </c>
      <c r="AH7" s="66" t="s">
        <v>548</v>
      </c>
      <c r="AI7" s="66" t="s">
        <v>549</v>
      </c>
      <c r="AJ7" s="66" t="s">
        <v>550</v>
      </c>
      <c r="AK7" s="66" t="s">
        <v>551</v>
      </c>
      <c r="AL7" s="66" t="s">
        <v>552</v>
      </c>
      <c r="AM7" s="66" t="s">
        <v>553</v>
      </c>
      <c r="AN7" s="66" t="s">
        <v>554</v>
      </c>
      <c r="AO7" s="66" t="s">
        <v>555</v>
      </c>
      <c r="AP7" s="66" t="s">
        <v>556</v>
      </c>
      <c r="AQ7" s="66" t="s">
        <v>557</v>
      </c>
      <c r="AR7" s="66" t="s">
        <v>558</v>
      </c>
      <c r="AS7" s="66" t="s">
        <v>559</v>
      </c>
      <c r="AT7" s="66" t="s">
        <v>560</v>
      </c>
      <c r="AU7" s="66" t="s">
        <v>561</v>
      </c>
      <c r="AV7" s="66" t="s">
        <v>562</v>
      </c>
      <c r="AW7" s="66" t="s">
        <v>563</v>
      </c>
      <c r="AX7" s="66" t="s">
        <v>564</v>
      </c>
      <c r="AY7" s="66" t="s">
        <v>565</v>
      </c>
      <c r="AZ7" s="66" t="s">
        <v>566</v>
      </c>
      <c r="BA7" s="66" t="s">
        <v>567</v>
      </c>
      <c r="BB7" s="66" t="s">
        <v>568</v>
      </c>
      <c r="BC7" s="66" t="s">
        <v>569</v>
      </c>
      <c r="BD7" s="66" t="s">
        <v>570</v>
      </c>
      <c r="BE7" s="66" t="s">
        <v>571</v>
      </c>
      <c r="BF7" s="66" t="s">
        <v>572</v>
      </c>
      <c r="BG7" s="66" t="s">
        <v>573</v>
      </c>
      <c r="BH7" s="66" t="s">
        <v>574</v>
      </c>
      <c r="BI7" s="66" t="s">
        <v>575</v>
      </c>
      <c r="BJ7" s="66" t="s">
        <v>576</v>
      </c>
      <c r="BK7" s="66" t="s">
        <v>577</v>
      </c>
      <c r="BL7" s="66" t="s">
        <v>578</v>
      </c>
      <c r="BM7" s="66" t="s">
        <v>579</v>
      </c>
      <c r="BN7" s="66" t="s">
        <v>580</v>
      </c>
      <c r="BO7" s="66" t="s">
        <v>581</v>
      </c>
      <c r="BP7" s="66" t="s">
        <v>582</v>
      </c>
      <c r="BQ7" s="66" t="s">
        <v>583</v>
      </c>
      <c r="BR7" s="66" t="s">
        <v>584</v>
      </c>
      <c r="BS7" s="66" t="s">
        <v>585</v>
      </c>
      <c r="BT7" s="66" t="s">
        <v>586</v>
      </c>
      <c r="BU7" s="66" t="s">
        <v>587</v>
      </c>
      <c r="BV7" s="66" t="s">
        <v>588</v>
      </c>
      <c r="BW7" s="66" t="s">
        <v>589</v>
      </c>
      <c r="BX7" s="66" t="s">
        <v>590</v>
      </c>
      <c r="BY7" s="66" t="s">
        <v>591</v>
      </c>
      <c r="BZ7" s="66" t="s">
        <v>592</v>
      </c>
      <c r="CA7" s="66" t="s">
        <v>593</v>
      </c>
      <c r="CB7" s="66" t="s">
        <v>594</v>
      </c>
      <c r="CC7" s="66" t="s">
        <v>595</v>
      </c>
      <c r="CD7" s="66" t="s">
        <v>596</v>
      </c>
      <c r="CE7" s="66" t="s">
        <v>597</v>
      </c>
      <c r="CF7" s="66" t="s">
        <v>598</v>
      </c>
    </row>
    <row r="8" spans="1:84" x14ac:dyDescent="0.35">
      <c r="A8" s="69" t="str">
        <f t="shared" ref="A8:A15" si="0">B8&amp;" "&amp;D8</f>
        <v>Electricity, UK ELCD MJ</v>
      </c>
      <c r="B8" s="70" t="s">
        <v>599</v>
      </c>
      <c r="C8" s="52">
        <v>1</v>
      </c>
      <c r="D8" s="71" t="s">
        <v>600</v>
      </c>
      <c r="E8" s="71">
        <v>3.2189331982597293</v>
      </c>
      <c r="F8" s="71">
        <v>0.17857877029657793</v>
      </c>
      <c r="G8" s="71">
        <v>1.3374368491709021E-6</v>
      </c>
      <c r="H8" s="71">
        <v>7.59792126064281E-4</v>
      </c>
      <c r="I8" s="71">
        <v>0</v>
      </c>
      <c r="J8" s="71">
        <v>1.1120467564182833E-3</v>
      </c>
      <c r="K8" s="71">
        <v>0</v>
      </c>
      <c r="L8" s="71">
        <v>0</v>
      </c>
      <c r="M8" s="71">
        <v>0</v>
      </c>
      <c r="N8" s="71">
        <v>0</v>
      </c>
      <c r="O8" s="71">
        <v>1.6085061808908969E-7</v>
      </c>
      <c r="P8" s="71">
        <v>4.2252914174491176E-7</v>
      </c>
      <c r="Q8" s="71">
        <v>2.8225964395405173E-6</v>
      </c>
      <c r="R8" s="71">
        <v>0</v>
      </c>
      <c r="S8" s="71">
        <v>0</v>
      </c>
      <c r="T8" s="71">
        <v>0</v>
      </c>
      <c r="U8" s="71">
        <v>0</v>
      </c>
      <c r="V8" s="71">
        <v>0</v>
      </c>
      <c r="W8" s="71">
        <v>0</v>
      </c>
      <c r="X8" s="71">
        <v>0</v>
      </c>
      <c r="Y8" s="71">
        <v>0</v>
      </c>
      <c r="Z8" s="71">
        <v>0</v>
      </c>
      <c r="AA8" s="71">
        <v>2.2887482357418874E-13</v>
      </c>
      <c r="AB8" s="71">
        <v>1.2523207842582325E-11</v>
      </c>
      <c r="AC8" s="71">
        <v>7.6143971899175241E-6</v>
      </c>
      <c r="AD8" s="71">
        <v>1.4172129943014762E-11</v>
      </c>
      <c r="AE8" s="71">
        <v>6.3440853664767131E-7</v>
      </c>
      <c r="AF8" s="71">
        <v>1.305200427286979</v>
      </c>
      <c r="AG8" s="71">
        <v>4.3399714512095811E-8</v>
      </c>
      <c r="AH8" s="71">
        <v>-2.8104945275771114E-5</v>
      </c>
      <c r="AI8" s="71">
        <v>4.5681767375448518E-6</v>
      </c>
      <c r="AJ8" s="71">
        <v>1.0398865000284172</v>
      </c>
      <c r="AK8" s="71">
        <v>0.11882508569917545</v>
      </c>
      <c r="AL8" s="71">
        <v>0</v>
      </c>
      <c r="AM8" s="71">
        <v>0</v>
      </c>
      <c r="AN8" s="71">
        <v>0</v>
      </c>
      <c r="AO8" s="71">
        <v>0</v>
      </c>
      <c r="AP8" s="71">
        <v>0</v>
      </c>
      <c r="AQ8" s="71">
        <v>0.99874850552173822</v>
      </c>
      <c r="AR8" s="71">
        <v>3.4594545369397204E-3</v>
      </c>
      <c r="AS8" s="71">
        <v>0</v>
      </c>
      <c r="AT8" s="71">
        <v>0</v>
      </c>
      <c r="AU8" s="71">
        <v>5.1121452969124924E-2</v>
      </c>
      <c r="AV8" s="71">
        <v>1.0068921995043332</v>
      </c>
      <c r="AW8" s="71">
        <v>6.9398221637951933E-11</v>
      </c>
      <c r="AX8" s="71">
        <v>0</v>
      </c>
      <c r="AY8" s="71">
        <v>0</v>
      </c>
      <c r="AZ8" s="71">
        <v>0.17458771708961027</v>
      </c>
      <c r="BA8" s="71">
        <v>0</v>
      </c>
      <c r="BB8" s="71">
        <v>0</v>
      </c>
      <c r="BC8" s="71">
        <v>3.8735922847700835E-4</v>
      </c>
      <c r="BD8" s="71">
        <v>1.4466255809767528E-9</v>
      </c>
      <c r="BE8" s="71">
        <v>1.567477469781325E-11</v>
      </c>
      <c r="BF8" s="71">
        <v>6.7357823808021938E-15</v>
      </c>
      <c r="BG8" s="71">
        <v>80439.434935890793</v>
      </c>
      <c r="BH8" s="71">
        <v>3171.4583072764381</v>
      </c>
      <c r="BI8" s="71">
        <v>0.20068526352587515</v>
      </c>
      <c r="BJ8" s="71">
        <v>0.18571520249737833</v>
      </c>
      <c r="BK8" s="71">
        <v>0</v>
      </c>
      <c r="BL8" s="71">
        <v>0</v>
      </c>
      <c r="BM8" s="71">
        <v>0</v>
      </c>
      <c r="BN8" s="71">
        <v>0</v>
      </c>
      <c r="BO8" s="71">
        <v>0</v>
      </c>
      <c r="BP8" s="71">
        <v>3.6914430458953471E-2</v>
      </c>
      <c r="BQ8" s="304">
        <v>0.32305314710805966</v>
      </c>
      <c r="BR8" s="304">
        <v>0.31134785916045343</v>
      </c>
      <c r="BS8" s="304">
        <v>0.31280307402735019</v>
      </c>
      <c r="BT8" s="304">
        <v>1.5881489245183161E-2</v>
      </c>
      <c r="BU8" s="304">
        <v>1</v>
      </c>
      <c r="BV8" s="71">
        <v>2.152848009316811E-6</v>
      </c>
      <c r="BW8" s="71">
        <v>1.7614047627152027E-5</v>
      </c>
      <c r="BX8" s="71">
        <v>3.6893621714049086E-4</v>
      </c>
      <c r="BY8" s="71">
        <v>8.0805341359496113E-5</v>
      </c>
      <c r="BZ8" s="71">
        <v>2.4788431940396109E-7</v>
      </c>
      <c r="CA8" s="304">
        <v>6.554288737565594E-4</v>
      </c>
      <c r="CB8" s="52">
        <v>0</v>
      </c>
      <c r="CC8" s="52">
        <v>0</v>
      </c>
      <c r="CD8" s="52">
        <v>0</v>
      </c>
      <c r="CE8" s="52" t="s">
        <v>597</v>
      </c>
      <c r="CF8" s="72">
        <v>54.237757150101359</v>
      </c>
    </row>
    <row r="9" spans="1:84" x14ac:dyDescent="0.35">
      <c r="A9" s="69" t="str">
        <f t="shared" si="0"/>
        <v>Electricity, EU 25, ELCD MJ</v>
      </c>
      <c r="B9" s="70" t="s">
        <v>601</v>
      </c>
      <c r="C9" s="52">
        <v>1</v>
      </c>
      <c r="D9" s="71" t="s">
        <v>600</v>
      </c>
      <c r="E9" s="71">
        <v>3.3209594892504226</v>
      </c>
      <c r="F9" s="71">
        <v>0.15859166664044294</v>
      </c>
      <c r="G9" s="71">
        <v>1.6018253814614029E-6</v>
      </c>
      <c r="H9" s="71">
        <v>8.904829681106027E-4</v>
      </c>
      <c r="I9" s="71">
        <v>0</v>
      </c>
      <c r="J9" s="71">
        <v>9.7564678073924912E-4</v>
      </c>
      <c r="K9" s="71">
        <v>0</v>
      </c>
      <c r="L9" s="71">
        <v>0</v>
      </c>
      <c r="M9" s="71">
        <v>0</v>
      </c>
      <c r="N9" s="71">
        <v>0</v>
      </c>
      <c r="O9" s="71">
        <v>2.1510411413788575E-7</v>
      </c>
      <c r="P9" s="71">
        <v>5.5898792221165022E-7</v>
      </c>
      <c r="Q9" s="71">
        <v>2.4177190634452831E-6</v>
      </c>
      <c r="R9" s="71">
        <v>0</v>
      </c>
      <c r="S9" s="71">
        <v>0</v>
      </c>
      <c r="T9" s="71">
        <v>0</v>
      </c>
      <c r="U9" s="71">
        <v>0</v>
      </c>
      <c r="V9" s="71">
        <v>0</v>
      </c>
      <c r="W9" s="71">
        <v>0</v>
      </c>
      <c r="X9" s="71">
        <v>0</v>
      </c>
      <c r="Y9" s="71">
        <v>0</v>
      </c>
      <c r="Z9" s="71">
        <v>0</v>
      </c>
      <c r="AA9" s="71">
        <v>4.4899160389399747E-13</v>
      </c>
      <c r="AB9" s="71">
        <v>3.6590241456871598E-11</v>
      </c>
      <c r="AC9" s="71">
        <v>1.5218198101234612E-5</v>
      </c>
      <c r="AD9" s="71">
        <v>7.2746822062542307E-11</v>
      </c>
      <c r="AE9" s="71">
        <v>1.3511141359005398E-6</v>
      </c>
      <c r="AF9" s="71">
        <v>1.7011675347658528</v>
      </c>
      <c r="AG9" s="71">
        <v>6.171137672188104E-8</v>
      </c>
      <c r="AH9" s="71">
        <v>-3.4759113553098763E-6</v>
      </c>
      <c r="AI9" s="71">
        <v>6.21337987544777E-6</v>
      </c>
      <c r="AJ9" s="71">
        <v>0.40809760172234155</v>
      </c>
      <c r="AK9" s="71">
        <v>0.20866498911882067</v>
      </c>
      <c r="AL9" s="71">
        <v>0</v>
      </c>
      <c r="AM9" s="71">
        <v>0</v>
      </c>
      <c r="AN9" s="71">
        <v>0</v>
      </c>
      <c r="AO9" s="71">
        <v>0</v>
      </c>
      <c r="AP9" s="71">
        <v>0</v>
      </c>
      <c r="AQ9" s="71">
        <v>0.56357995968512098</v>
      </c>
      <c r="AR9" s="71">
        <v>0.46569164823793008</v>
      </c>
      <c r="AS9" s="71">
        <v>0</v>
      </c>
      <c r="AT9" s="71">
        <v>0</v>
      </c>
      <c r="AU9" s="71">
        <v>0.24344663101674274</v>
      </c>
      <c r="AV9" s="71">
        <v>1.4314786594694666</v>
      </c>
      <c r="AW9" s="71">
        <v>1.2065447584796332E-10</v>
      </c>
      <c r="AX9" s="71">
        <v>0</v>
      </c>
      <c r="AY9" s="71">
        <v>0</v>
      </c>
      <c r="AZ9" s="71">
        <v>0.15524105335369889</v>
      </c>
      <c r="BA9" s="71">
        <v>0</v>
      </c>
      <c r="BB9" s="71">
        <v>0</v>
      </c>
      <c r="BC9" s="71">
        <v>2.8846485549345553E-4</v>
      </c>
      <c r="BD9" s="71">
        <v>2.9778950960209725E-9</v>
      </c>
      <c r="BE9" s="71">
        <v>1.3395120932246555E-11</v>
      </c>
      <c r="BF9" s="71">
        <v>9.4950669645959719E-15</v>
      </c>
      <c r="BG9" s="71">
        <v>114358.88699563518</v>
      </c>
      <c r="BH9" s="71">
        <v>4508.7202016734882</v>
      </c>
      <c r="BI9" s="71">
        <v>0.17802438923027833</v>
      </c>
      <c r="BJ9" s="71">
        <v>0.16447469809989737</v>
      </c>
      <c r="BK9" s="71">
        <v>0</v>
      </c>
      <c r="BL9" s="71">
        <v>0</v>
      </c>
      <c r="BM9" s="71">
        <v>0</v>
      </c>
      <c r="BN9" s="71">
        <v>0</v>
      </c>
      <c r="BO9" s="71">
        <v>0</v>
      </c>
      <c r="BP9" s="71">
        <v>6.2832741499631681E-2</v>
      </c>
      <c r="BQ9" s="304">
        <v>0.12288545013671746</v>
      </c>
      <c r="BR9" s="304">
        <v>0.30993199744070621</v>
      </c>
      <c r="BS9" s="304">
        <v>0.43104369809478377</v>
      </c>
      <c r="BT9" s="304">
        <v>7.3306112828160797E-2</v>
      </c>
      <c r="BU9" s="304">
        <v>1</v>
      </c>
      <c r="BV9" s="71">
        <v>3.5525555114073332E-6</v>
      </c>
      <c r="BW9" s="71">
        <v>2.6168469790779474E-5</v>
      </c>
      <c r="BX9" s="71">
        <v>2.7851576788818762E-4</v>
      </c>
      <c r="BY9" s="71">
        <v>5.4137114826793887E-5</v>
      </c>
      <c r="BZ9" s="71">
        <v>1.9735488409813165E-4</v>
      </c>
      <c r="CA9" s="304">
        <v>5.4101942157326523E-3</v>
      </c>
      <c r="CB9" s="52">
        <v>0</v>
      </c>
      <c r="CC9" s="52">
        <v>0</v>
      </c>
      <c r="CD9" s="52">
        <v>0</v>
      </c>
      <c r="CE9" s="52" t="s">
        <v>597</v>
      </c>
      <c r="CF9" s="72">
        <v>46.745843740701133</v>
      </c>
    </row>
    <row r="10" spans="1:84" x14ac:dyDescent="0.35">
      <c r="A10" s="69" t="str">
        <f t="shared" si="0"/>
        <v>Diesel, General MJ</v>
      </c>
      <c r="B10" s="70" t="s">
        <v>602</v>
      </c>
      <c r="C10" s="52">
        <v>1</v>
      </c>
      <c r="D10" s="71" t="s">
        <v>600</v>
      </c>
      <c r="E10" s="71">
        <v>1.214738678522965</v>
      </c>
      <c r="F10" s="71">
        <v>8.4569347959903507E-2</v>
      </c>
      <c r="G10" s="71">
        <v>1.0892166947130187E-7</v>
      </c>
      <c r="H10" s="71">
        <v>3.8599183951238411E-5</v>
      </c>
      <c r="I10" s="71">
        <v>0</v>
      </c>
      <c r="J10" s="71">
        <v>5.7081979037746375E-4</v>
      </c>
      <c r="K10" s="71">
        <v>0</v>
      </c>
      <c r="L10" s="71">
        <v>0</v>
      </c>
      <c r="M10" s="71">
        <v>0</v>
      </c>
      <c r="N10" s="71">
        <v>0</v>
      </c>
      <c r="O10" s="71">
        <v>1.4694122029482442E-8</v>
      </c>
      <c r="P10" s="71">
        <v>5.9152826388688606E-7</v>
      </c>
      <c r="Q10" s="71">
        <v>6.980954881466128E-7</v>
      </c>
      <c r="R10" s="71">
        <v>0</v>
      </c>
      <c r="S10" s="71">
        <v>0</v>
      </c>
      <c r="T10" s="71">
        <v>0</v>
      </c>
      <c r="U10" s="71">
        <v>0</v>
      </c>
      <c r="V10" s="71">
        <v>0</v>
      </c>
      <c r="W10" s="71">
        <v>0</v>
      </c>
      <c r="X10" s="71">
        <v>0</v>
      </c>
      <c r="Y10" s="71">
        <v>0</v>
      </c>
      <c r="Z10" s="71">
        <v>0</v>
      </c>
      <c r="AA10" s="71">
        <v>5.089498801045844E-15</v>
      </c>
      <c r="AB10" s="71">
        <v>4.4909695632742911E-12</v>
      </c>
      <c r="AC10" s="71">
        <v>1.5603289406343021E-7</v>
      </c>
      <c r="AD10" s="71">
        <v>5.6860730139288658E-11</v>
      </c>
      <c r="AE10" s="71">
        <v>1.9173880948774345E-7</v>
      </c>
      <c r="AF10" s="71">
        <v>2.1326478250055968E-2</v>
      </c>
      <c r="AG10" s="71">
        <v>2.5522680867465091E-10</v>
      </c>
      <c r="AH10" s="71">
        <v>-8.5090420740198351E-5</v>
      </c>
      <c r="AI10" s="71">
        <v>3.9375739717202695E-5</v>
      </c>
      <c r="AJ10" s="71">
        <v>8.8171227021606319E-2</v>
      </c>
      <c r="AK10" s="71">
        <v>1.1052691698441834</v>
      </c>
      <c r="AL10" s="71">
        <v>0</v>
      </c>
      <c r="AM10" s="71">
        <v>0</v>
      </c>
      <c r="AN10" s="71">
        <v>0</v>
      </c>
      <c r="AO10" s="71">
        <v>0</v>
      </c>
      <c r="AP10" s="71">
        <v>0</v>
      </c>
      <c r="AQ10" s="71">
        <v>3.0226753553995673E-3</v>
      </c>
      <c r="AR10" s="71">
        <v>1.1528856038215151E-3</v>
      </c>
      <c r="AS10" s="71">
        <v>0</v>
      </c>
      <c r="AT10" s="71">
        <v>0</v>
      </c>
      <c r="AU10" s="71">
        <v>1.5863174573723649E-3</v>
      </c>
      <c r="AV10" s="71">
        <v>5.9439856701362986E-3</v>
      </c>
      <c r="AW10" s="71">
        <v>1.0371300951419555E-11</v>
      </c>
      <c r="AX10" s="71">
        <v>0</v>
      </c>
      <c r="AY10" s="71">
        <v>0</v>
      </c>
      <c r="AZ10" s="71">
        <v>8.2993113570936153E-2</v>
      </c>
      <c r="BA10" s="71">
        <v>0</v>
      </c>
      <c r="BB10" s="71">
        <v>0</v>
      </c>
      <c r="BC10" s="71">
        <v>8.1559774659625939E-5</v>
      </c>
      <c r="BD10" s="71">
        <v>5.7727075588527624E-9</v>
      </c>
      <c r="BE10" s="71">
        <v>2.2007183084077283E-13</v>
      </c>
      <c r="BF10" s="71">
        <v>6.9745815290818258E-17</v>
      </c>
      <c r="BG10" s="71">
        <v>474.84629597524628</v>
      </c>
      <c r="BH10" s="71">
        <v>18.718464027391246</v>
      </c>
      <c r="BI10" s="71">
        <v>9.0682614466624872E-2</v>
      </c>
      <c r="BJ10" s="71">
        <v>8.6680150431404243E-2</v>
      </c>
      <c r="BK10" s="71">
        <v>0</v>
      </c>
      <c r="BL10" s="71">
        <v>0</v>
      </c>
      <c r="BM10" s="71">
        <v>0</v>
      </c>
      <c r="BN10" s="71">
        <v>0</v>
      </c>
      <c r="BO10" s="71">
        <v>0</v>
      </c>
      <c r="BP10" s="71">
        <v>0.91712450650645905</v>
      </c>
      <c r="BQ10" s="304">
        <v>7.3162262439347286E-2</v>
      </c>
      <c r="BR10" s="304">
        <v>3.4647752679586108E-3</v>
      </c>
      <c r="BS10" s="304">
        <v>4.9321695322178671E-3</v>
      </c>
      <c r="BT10" s="304">
        <v>1.3162862540174807E-3</v>
      </c>
      <c r="BU10" s="304">
        <v>1</v>
      </c>
      <c r="BV10" s="71">
        <v>4.4736473013295549E-7</v>
      </c>
      <c r="BW10" s="71">
        <v>1.4744752088056732E-5</v>
      </c>
      <c r="BX10" s="71">
        <v>6.547794009155697E-4</v>
      </c>
      <c r="BY10" s="71">
        <v>1.4388296367179171E-4</v>
      </c>
      <c r="BZ10" s="71">
        <v>3.7176720084192968E-5</v>
      </c>
      <c r="CA10" s="304">
        <v>1.5241486581366431E-2</v>
      </c>
      <c r="CB10" s="52">
        <v>0</v>
      </c>
      <c r="CC10" s="52">
        <v>0</v>
      </c>
      <c r="CD10" s="52">
        <v>0</v>
      </c>
      <c r="CE10" s="52" t="s">
        <v>597</v>
      </c>
      <c r="CF10" s="72">
        <v>68.321783967437199</v>
      </c>
    </row>
    <row r="11" spans="1:84" x14ac:dyDescent="0.35">
      <c r="A11" s="69" t="str">
        <f t="shared" si="0"/>
        <v>Diesel, Tractor MJ</v>
      </c>
      <c r="B11" s="70" t="s">
        <v>603</v>
      </c>
      <c r="C11" s="52">
        <v>1</v>
      </c>
      <c r="D11" s="71" t="s">
        <v>600</v>
      </c>
      <c r="E11" s="71">
        <v>1.214738678522965</v>
      </c>
      <c r="F11" s="71">
        <v>8.4569347959903507E-2</v>
      </c>
      <c r="G11" s="71">
        <v>1.0892166947130187E-7</v>
      </c>
      <c r="H11" s="71">
        <v>3.8599183951238411E-5</v>
      </c>
      <c r="I11" s="71">
        <v>0</v>
      </c>
      <c r="J11" s="71">
        <v>5.7081979037746375E-4</v>
      </c>
      <c r="K11" s="71">
        <v>0</v>
      </c>
      <c r="L11" s="71">
        <v>0</v>
      </c>
      <c r="M11" s="71">
        <v>0</v>
      </c>
      <c r="N11" s="71">
        <v>0</v>
      </c>
      <c r="O11" s="71">
        <v>1.4694122029482442E-8</v>
      </c>
      <c r="P11" s="71">
        <v>5.9152826388688606E-7</v>
      </c>
      <c r="Q11" s="71">
        <v>6.980954881466128E-7</v>
      </c>
      <c r="R11" s="71">
        <v>0</v>
      </c>
      <c r="S11" s="71">
        <v>0</v>
      </c>
      <c r="T11" s="71">
        <v>0</v>
      </c>
      <c r="U11" s="71">
        <v>0</v>
      </c>
      <c r="V11" s="71">
        <v>0</v>
      </c>
      <c r="W11" s="71">
        <v>0</v>
      </c>
      <c r="X11" s="71">
        <v>0</v>
      </c>
      <c r="Y11" s="71">
        <v>0</v>
      </c>
      <c r="Z11" s="71">
        <v>0</v>
      </c>
      <c r="AA11" s="71">
        <v>5.089498801045844E-15</v>
      </c>
      <c r="AB11" s="71">
        <v>4.4909695632742911E-12</v>
      </c>
      <c r="AC11" s="71">
        <v>1.5603289406343021E-7</v>
      </c>
      <c r="AD11" s="71">
        <v>5.6860730139288658E-11</v>
      </c>
      <c r="AE11" s="71">
        <v>1.9173880948774345E-7</v>
      </c>
      <c r="AF11" s="71">
        <v>2.1326478250055968E-2</v>
      </c>
      <c r="AG11" s="71">
        <v>2.5522680867465091E-10</v>
      </c>
      <c r="AH11" s="71">
        <v>-8.5090420740198351E-5</v>
      </c>
      <c r="AI11" s="71">
        <v>3.9375739717202695E-5</v>
      </c>
      <c r="AJ11" s="71">
        <v>8.8171227021606319E-2</v>
      </c>
      <c r="AK11" s="71">
        <v>1.1052691698441834</v>
      </c>
      <c r="AL11" s="71">
        <v>0</v>
      </c>
      <c r="AM11" s="71">
        <v>0</v>
      </c>
      <c r="AN11" s="71">
        <v>0</v>
      </c>
      <c r="AO11" s="71">
        <v>0</v>
      </c>
      <c r="AP11" s="71">
        <v>0</v>
      </c>
      <c r="AQ11" s="71">
        <v>3.0226753553995673E-3</v>
      </c>
      <c r="AR11" s="71">
        <v>1.1528856038215151E-3</v>
      </c>
      <c r="AS11" s="71">
        <v>0</v>
      </c>
      <c r="AT11" s="71">
        <v>0</v>
      </c>
      <c r="AU11" s="71">
        <v>1.5863174573723649E-3</v>
      </c>
      <c r="AV11" s="71">
        <v>5.9439856701362986E-3</v>
      </c>
      <c r="AW11" s="71">
        <v>1.0371300951419555E-11</v>
      </c>
      <c r="AX11" s="71">
        <v>0</v>
      </c>
      <c r="AY11" s="71">
        <v>0</v>
      </c>
      <c r="AZ11" s="71">
        <v>8.2993113570936153E-2</v>
      </c>
      <c r="BA11" s="71">
        <v>0</v>
      </c>
      <c r="BB11" s="71">
        <v>0</v>
      </c>
      <c r="BC11" s="71">
        <v>8.1559774659625939E-5</v>
      </c>
      <c r="BD11" s="71">
        <v>5.7727075588527624E-9</v>
      </c>
      <c r="BE11" s="71">
        <v>2.2007183084077283E-13</v>
      </c>
      <c r="BF11" s="71">
        <v>6.9745815290818258E-17</v>
      </c>
      <c r="BG11" s="71">
        <v>474.84629597524628</v>
      </c>
      <c r="BH11" s="71">
        <v>18.718464027391246</v>
      </c>
      <c r="BI11" s="71">
        <v>9.0682614466624872E-2</v>
      </c>
      <c r="BJ11" s="71">
        <v>8.6680150431404243E-2</v>
      </c>
      <c r="BK11" s="71">
        <v>0</v>
      </c>
      <c r="BL11" s="71">
        <v>0</v>
      </c>
      <c r="BM11" s="71">
        <v>0</v>
      </c>
      <c r="BN11" s="71">
        <v>0</v>
      </c>
      <c r="BO11" s="71">
        <v>0</v>
      </c>
      <c r="BP11" s="71">
        <v>0.91712450650645905</v>
      </c>
      <c r="BQ11" s="304">
        <v>7.3162262439347286E-2</v>
      </c>
      <c r="BR11" s="304">
        <v>3.4647752679586108E-3</v>
      </c>
      <c r="BS11" s="304">
        <v>4.9321695322178671E-3</v>
      </c>
      <c r="BT11" s="304">
        <v>1.3162862540174807E-3</v>
      </c>
      <c r="BU11" s="304">
        <v>1</v>
      </c>
      <c r="BV11" s="71">
        <v>4.4736473013295549E-7</v>
      </c>
      <c r="BW11" s="71">
        <v>1.4744752088056732E-5</v>
      </c>
      <c r="BX11" s="71">
        <v>6.547794009155697E-4</v>
      </c>
      <c r="BY11" s="71">
        <v>1.4388296367179171E-4</v>
      </c>
      <c r="BZ11" s="71">
        <v>3.7176720084192968E-5</v>
      </c>
      <c r="CA11" s="304">
        <v>1.5241486581366431E-2</v>
      </c>
      <c r="CB11" s="52">
        <v>0</v>
      </c>
      <c r="CC11" s="52">
        <v>0</v>
      </c>
      <c r="CD11" s="52">
        <v>0</v>
      </c>
      <c r="CE11" s="52" t="s">
        <v>597</v>
      </c>
      <c r="CF11" s="72">
        <v>68.321783967437199</v>
      </c>
    </row>
    <row r="12" spans="1:84" x14ac:dyDescent="0.35">
      <c r="A12" s="69" t="str">
        <f t="shared" si="0"/>
        <v>Diesel, General  kg</v>
      </c>
      <c r="B12" s="70" t="s">
        <v>604</v>
      </c>
      <c r="C12" s="52">
        <v>1</v>
      </c>
      <c r="D12" s="71" t="s">
        <v>605</v>
      </c>
      <c r="E12" s="71">
        <v>51.869341572930608</v>
      </c>
      <c r="F12" s="71">
        <v>3.6111111578878798</v>
      </c>
      <c r="G12" s="71">
        <v>4.6509552864245903E-6</v>
      </c>
      <c r="H12" s="71">
        <v>1.6481851547178801E-3</v>
      </c>
      <c r="I12" s="71">
        <v>0</v>
      </c>
      <c r="J12" s="71">
        <v>2.4374005049117704E-2</v>
      </c>
      <c r="K12" s="71">
        <v>0</v>
      </c>
      <c r="L12" s="71">
        <v>0</v>
      </c>
      <c r="M12" s="71">
        <v>0</v>
      </c>
      <c r="N12" s="71">
        <v>0</v>
      </c>
      <c r="O12" s="71">
        <v>6.2743901065890033E-7</v>
      </c>
      <c r="P12" s="71">
        <v>2.5258256867970034E-5</v>
      </c>
      <c r="Q12" s="71">
        <v>2.9808677343860369E-5</v>
      </c>
      <c r="R12" s="71">
        <v>0</v>
      </c>
      <c r="S12" s="71">
        <v>0</v>
      </c>
      <c r="T12" s="71">
        <v>0</v>
      </c>
      <c r="U12" s="71">
        <v>0</v>
      </c>
      <c r="V12" s="71">
        <v>0</v>
      </c>
      <c r="W12" s="71">
        <v>0</v>
      </c>
      <c r="X12" s="71">
        <v>0</v>
      </c>
      <c r="Y12" s="71">
        <v>0</v>
      </c>
      <c r="Z12" s="71">
        <v>0</v>
      </c>
      <c r="AA12" s="71">
        <v>2.1732159880465754E-13</v>
      </c>
      <c r="AB12" s="71">
        <v>1.9176440035181224E-10</v>
      </c>
      <c r="AC12" s="71">
        <v>6.6626045765084705E-6</v>
      </c>
      <c r="AD12" s="71">
        <v>2.427953176947626E-9</v>
      </c>
      <c r="AE12" s="71">
        <v>8.1872471651266459E-6</v>
      </c>
      <c r="AF12" s="71">
        <v>0.91064062127738987</v>
      </c>
      <c r="AG12" s="71">
        <v>1.0898184730407595E-8</v>
      </c>
      <c r="AH12" s="71">
        <v>-3.6333609656064698E-3</v>
      </c>
      <c r="AI12" s="71">
        <v>1.6813440859245552E-3</v>
      </c>
      <c r="AJ12" s="71">
        <v>3.7649113938225898</v>
      </c>
      <c r="AK12" s="71">
        <v>47.194993552346638</v>
      </c>
      <c r="AL12" s="71">
        <v>0</v>
      </c>
      <c r="AM12" s="71">
        <v>0</v>
      </c>
      <c r="AN12" s="71">
        <v>0</v>
      </c>
      <c r="AO12" s="71">
        <v>0</v>
      </c>
      <c r="AP12" s="71">
        <v>0</v>
      </c>
      <c r="AQ12" s="71">
        <v>0.12906823767556153</v>
      </c>
      <c r="AR12" s="71">
        <v>4.9228215283178695E-2</v>
      </c>
      <c r="AS12" s="71">
        <v>0</v>
      </c>
      <c r="AT12" s="71">
        <v>0</v>
      </c>
      <c r="AU12" s="71">
        <v>6.7735755429799982E-2</v>
      </c>
      <c r="AV12" s="71">
        <v>0.25380818811481998</v>
      </c>
      <c r="AW12" s="71">
        <v>4.4285455062561503E-10</v>
      </c>
      <c r="AX12" s="71">
        <v>0</v>
      </c>
      <c r="AY12" s="71">
        <v>0</v>
      </c>
      <c r="AZ12" s="71">
        <v>3.543805949478974</v>
      </c>
      <c r="BA12" s="71">
        <v>0</v>
      </c>
      <c r="BB12" s="71">
        <v>0</v>
      </c>
      <c r="BC12" s="71">
        <v>3.4826023779660278E-3</v>
      </c>
      <c r="BD12" s="71">
        <v>2.4649461276301298E-7</v>
      </c>
      <c r="BE12" s="71">
        <v>9.3970671769010004E-12</v>
      </c>
      <c r="BF12" s="71">
        <v>2.9781463129179397E-15</v>
      </c>
      <c r="BG12" s="71">
        <v>20275.936838143018</v>
      </c>
      <c r="BH12" s="71">
        <v>799.27841396960628</v>
      </c>
      <c r="BI12" s="71">
        <v>3.8721476377248822</v>
      </c>
      <c r="BJ12" s="71">
        <v>3.7012424234209615</v>
      </c>
      <c r="BK12" s="71">
        <v>0</v>
      </c>
      <c r="BL12" s="71">
        <v>0</v>
      </c>
      <c r="BM12" s="71">
        <v>0</v>
      </c>
      <c r="BN12" s="71">
        <v>0</v>
      </c>
      <c r="BO12" s="71">
        <v>0</v>
      </c>
      <c r="BP12" s="71">
        <v>0.91712450650645883</v>
      </c>
      <c r="BQ12" s="304">
        <v>7.3162262439347273E-2</v>
      </c>
      <c r="BR12" s="304">
        <v>3.4647752679586095E-3</v>
      </c>
      <c r="BS12" s="304">
        <v>4.9321695322178663E-3</v>
      </c>
      <c r="BT12" s="304">
        <v>1.3162862540174805E-3</v>
      </c>
      <c r="BU12" s="304">
        <v>1</v>
      </c>
      <c r="BV12" s="71">
        <v>1.91024739766772E-5</v>
      </c>
      <c r="BW12" s="71">
        <v>6.2960091416002254E-4</v>
      </c>
      <c r="BX12" s="71">
        <v>2.7959080419094829E-2</v>
      </c>
      <c r="BY12" s="71">
        <v>6.1438025487855069E-3</v>
      </c>
      <c r="BZ12" s="71">
        <v>1.5874459475950398E-3</v>
      </c>
      <c r="CA12" s="304">
        <v>1.5241486581366341E-2</v>
      </c>
      <c r="CB12" s="52">
        <v>0</v>
      </c>
      <c r="CC12" s="52">
        <v>0</v>
      </c>
      <c r="CD12" s="52">
        <v>0</v>
      </c>
      <c r="CE12" s="52" t="s">
        <v>597</v>
      </c>
      <c r="CF12" s="72">
        <v>68.321783967437199</v>
      </c>
    </row>
    <row r="13" spans="1:84" x14ac:dyDescent="0.35">
      <c r="A13" s="69" t="str">
        <f t="shared" si="0"/>
        <v>Diesel, Tractor kg</v>
      </c>
      <c r="B13" s="70" t="s">
        <v>603</v>
      </c>
      <c r="C13" s="52">
        <v>1</v>
      </c>
      <c r="D13" s="71" t="s">
        <v>605</v>
      </c>
      <c r="E13" s="71">
        <v>51.869341572930608</v>
      </c>
      <c r="F13" s="71">
        <v>3.6111111578878798</v>
      </c>
      <c r="G13" s="71">
        <v>4.6509552864245903E-6</v>
      </c>
      <c r="H13" s="71">
        <v>1.6481851547178801E-3</v>
      </c>
      <c r="I13" s="71">
        <v>0</v>
      </c>
      <c r="J13" s="71">
        <v>2.4374005049117704E-2</v>
      </c>
      <c r="K13" s="71">
        <v>0</v>
      </c>
      <c r="L13" s="71">
        <v>0</v>
      </c>
      <c r="M13" s="71">
        <v>0</v>
      </c>
      <c r="N13" s="71">
        <v>0</v>
      </c>
      <c r="O13" s="71">
        <v>6.2743901065890033E-7</v>
      </c>
      <c r="P13" s="71">
        <v>2.5258256867970034E-5</v>
      </c>
      <c r="Q13" s="71">
        <v>2.9808677343860369E-5</v>
      </c>
      <c r="R13" s="71">
        <v>0</v>
      </c>
      <c r="S13" s="71">
        <v>0</v>
      </c>
      <c r="T13" s="71">
        <v>0</v>
      </c>
      <c r="U13" s="71">
        <v>0</v>
      </c>
      <c r="V13" s="71">
        <v>0</v>
      </c>
      <c r="W13" s="71">
        <v>0</v>
      </c>
      <c r="X13" s="71">
        <v>0</v>
      </c>
      <c r="Y13" s="71">
        <v>0</v>
      </c>
      <c r="Z13" s="71">
        <v>0</v>
      </c>
      <c r="AA13" s="71">
        <v>2.1732159880465754E-13</v>
      </c>
      <c r="AB13" s="71">
        <v>1.9176440035181224E-10</v>
      </c>
      <c r="AC13" s="71">
        <v>6.6626045765084705E-6</v>
      </c>
      <c r="AD13" s="71">
        <v>2.427953176947626E-9</v>
      </c>
      <c r="AE13" s="71">
        <v>8.1872471651266459E-6</v>
      </c>
      <c r="AF13" s="71">
        <v>0.91064062127738987</v>
      </c>
      <c r="AG13" s="71">
        <v>1.0898184730407595E-8</v>
      </c>
      <c r="AH13" s="71">
        <v>-3.6333609656064698E-3</v>
      </c>
      <c r="AI13" s="71">
        <v>1.6813440859245552E-3</v>
      </c>
      <c r="AJ13" s="71">
        <v>3.7649113938225898</v>
      </c>
      <c r="AK13" s="71">
        <v>47.194993552346638</v>
      </c>
      <c r="AL13" s="71">
        <v>0</v>
      </c>
      <c r="AM13" s="71">
        <v>0</v>
      </c>
      <c r="AN13" s="71">
        <v>0</v>
      </c>
      <c r="AO13" s="71">
        <v>0</v>
      </c>
      <c r="AP13" s="71">
        <v>0</v>
      </c>
      <c r="AQ13" s="71">
        <v>0.12906823767556153</v>
      </c>
      <c r="AR13" s="71">
        <v>4.9228215283178695E-2</v>
      </c>
      <c r="AS13" s="71">
        <v>0</v>
      </c>
      <c r="AT13" s="71">
        <v>0</v>
      </c>
      <c r="AU13" s="71">
        <v>6.7735755429799982E-2</v>
      </c>
      <c r="AV13" s="71">
        <v>0.25380818811481998</v>
      </c>
      <c r="AW13" s="71">
        <v>4.4285455062561503E-10</v>
      </c>
      <c r="AX13" s="71">
        <v>0</v>
      </c>
      <c r="AY13" s="71">
        <v>0</v>
      </c>
      <c r="AZ13" s="71">
        <v>3.543805949478974</v>
      </c>
      <c r="BA13" s="71">
        <v>0</v>
      </c>
      <c r="BB13" s="71">
        <v>0</v>
      </c>
      <c r="BC13" s="71">
        <v>3.4826023779660278E-3</v>
      </c>
      <c r="BD13" s="71">
        <v>2.4649461276301298E-7</v>
      </c>
      <c r="BE13" s="71">
        <v>9.3970671769010004E-12</v>
      </c>
      <c r="BF13" s="71">
        <v>2.9781463129179397E-15</v>
      </c>
      <c r="BG13" s="71">
        <v>20275.936838143018</v>
      </c>
      <c r="BH13" s="71">
        <v>799.27841396960628</v>
      </c>
      <c r="BI13" s="71">
        <v>3.8721476377248822</v>
      </c>
      <c r="BJ13" s="71">
        <v>3.7012424234209615</v>
      </c>
      <c r="BK13" s="71">
        <v>0</v>
      </c>
      <c r="BL13" s="71">
        <v>0</v>
      </c>
      <c r="BM13" s="71">
        <v>0</v>
      </c>
      <c r="BN13" s="71">
        <v>0</v>
      </c>
      <c r="BO13" s="71">
        <v>0</v>
      </c>
      <c r="BP13" s="71">
        <v>0.91712450650645883</v>
      </c>
      <c r="BQ13" s="304">
        <v>7.3162262439347273E-2</v>
      </c>
      <c r="BR13" s="304">
        <v>3.4647752679586095E-3</v>
      </c>
      <c r="BS13" s="304">
        <v>4.9321695322178663E-3</v>
      </c>
      <c r="BT13" s="304">
        <v>1.3162862540174805E-3</v>
      </c>
      <c r="BU13" s="304">
        <v>1</v>
      </c>
      <c r="BV13" s="71">
        <v>1.91024739766772E-5</v>
      </c>
      <c r="BW13" s="71">
        <v>6.2960091416002254E-4</v>
      </c>
      <c r="BX13" s="71">
        <v>2.7959080419094829E-2</v>
      </c>
      <c r="BY13" s="71">
        <v>6.1438025487855069E-3</v>
      </c>
      <c r="BZ13" s="71">
        <v>1.5874459475950398E-3</v>
      </c>
      <c r="CA13" s="304">
        <v>1.5241486581366341E-2</v>
      </c>
      <c r="CB13" s="52">
        <v>0</v>
      </c>
      <c r="CC13" s="52">
        <v>0</v>
      </c>
      <c r="CD13" s="52">
        <v>0</v>
      </c>
      <c r="CE13" s="52" t="s">
        <v>597</v>
      </c>
      <c r="CF13" s="72">
        <v>68.321783967437199</v>
      </c>
    </row>
    <row r="14" spans="1:84" x14ac:dyDescent="0.35">
      <c r="A14" s="69" t="str">
        <f t="shared" si="0"/>
        <v>Diesel, General l</v>
      </c>
      <c r="B14" s="70" t="s">
        <v>602</v>
      </c>
      <c r="C14" s="52">
        <v>1</v>
      </c>
      <c r="D14" s="71" t="s">
        <v>606</v>
      </c>
      <c r="E14" s="71">
        <v>43.051553505532404</v>
      </c>
      <c r="F14" s="71">
        <v>2.9972222610469403</v>
      </c>
      <c r="G14" s="71">
        <v>3.8602928877324102E-6</v>
      </c>
      <c r="H14" s="71">
        <v>1.3679936784158405E-3</v>
      </c>
      <c r="I14" s="71">
        <v>0</v>
      </c>
      <c r="J14" s="71">
        <v>2.0230424190767694E-2</v>
      </c>
      <c r="K14" s="71">
        <v>0</v>
      </c>
      <c r="L14" s="71">
        <v>0</v>
      </c>
      <c r="M14" s="71">
        <v>0</v>
      </c>
      <c r="N14" s="71">
        <v>0</v>
      </c>
      <c r="O14" s="71">
        <v>5.2077437884688723E-7</v>
      </c>
      <c r="P14" s="71">
        <v>2.0964353200415127E-5</v>
      </c>
      <c r="Q14" s="71">
        <v>2.4741202195404106E-5</v>
      </c>
      <c r="R14" s="71">
        <v>0</v>
      </c>
      <c r="S14" s="71">
        <v>0</v>
      </c>
      <c r="T14" s="71">
        <v>0</v>
      </c>
      <c r="U14" s="71">
        <v>0</v>
      </c>
      <c r="V14" s="71">
        <v>0</v>
      </c>
      <c r="W14" s="71">
        <v>0</v>
      </c>
      <c r="X14" s="71">
        <v>0</v>
      </c>
      <c r="Y14" s="71">
        <v>0</v>
      </c>
      <c r="Z14" s="71">
        <v>0</v>
      </c>
      <c r="AA14" s="71">
        <v>1.8037692700786575E-13</v>
      </c>
      <c r="AB14" s="71">
        <v>1.5916445229200415E-10</v>
      </c>
      <c r="AC14" s="71">
        <v>5.5299617985020306E-6</v>
      </c>
      <c r="AD14" s="71">
        <v>2.0152011368665294E-9</v>
      </c>
      <c r="AE14" s="71">
        <v>6.7954151470551158E-6</v>
      </c>
      <c r="AF14" s="71">
        <v>0.75583171566023355</v>
      </c>
      <c r="AG14" s="71">
        <v>9.045493326238304E-9</v>
      </c>
      <c r="AH14" s="71">
        <v>-3.01568960145337E-3</v>
      </c>
      <c r="AI14" s="71">
        <v>1.3955155913173809E-3</v>
      </c>
      <c r="AJ14" s="71">
        <v>3.1248764568727494</v>
      </c>
      <c r="AK14" s="71">
        <v>39.17184464844771</v>
      </c>
      <c r="AL14" s="71">
        <v>0</v>
      </c>
      <c r="AM14" s="71">
        <v>0</v>
      </c>
      <c r="AN14" s="71">
        <v>0</v>
      </c>
      <c r="AO14" s="71">
        <v>0</v>
      </c>
      <c r="AP14" s="71">
        <v>0</v>
      </c>
      <c r="AQ14" s="71">
        <v>0.10712663727071606</v>
      </c>
      <c r="AR14" s="71">
        <v>4.0859418685038312E-2</v>
      </c>
      <c r="AS14" s="71">
        <v>0</v>
      </c>
      <c r="AT14" s="71">
        <v>0</v>
      </c>
      <c r="AU14" s="71">
        <v>5.6220677006733985E-2</v>
      </c>
      <c r="AV14" s="71">
        <v>0.21066079613530056</v>
      </c>
      <c r="AW14" s="71">
        <v>3.6756927701926045E-10</v>
      </c>
      <c r="AX14" s="71">
        <v>0</v>
      </c>
      <c r="AY14" s="71">
        <v>0</v>
      </c>
      <c r="AZ14" s="71">
        <v>2.9413589380675482</v>
      </c>
      <c r="BA14" s="71">
        <v>0</v>
      </c>
      <c r="BB14" s="71">
        <v>0</v>
      </c>
      <c r="BC14" s="71">
        <v>2.890559973711803E-3</v>
      </c>
      <c r="BD14" s="71">
        <v>2.0459052859330075E-7</v>
      </c>
      <c r="BE14" s="71">
        <v>7.7995657568278295E-12</v>
      </c>
      <c r="BF14" s="71">
        <v>2.4718614397218899E-15</v>
      </c>
      <c r="BG14" s="71">
        <v>16829.027575658703</v>
      </c>
      <c r="BH14" s="71">
        <v>663.40108359477313</v>
      </c>
      <c r="BI14" s="71">
        <v>3.2138825393116521</v>
      </c>
      <c r="BJ14" s="71">
        <v>3.0720312114393979</v>
      </c>
      <c r="BK14" s="71">
        <v>0</v>
      </c>
      <c r="BL14" s="71">
        <v>0</v>
      </c>
      <c r="BM14" s="71">
        <v>0</v>
      </c>
      <c r="BN14" s="71">
        <v>0</v>
      </c>
      <c r="BO14" s="71">
        <v>0</v>
      </c>
      <c r="BP14" s="71">
        <v>0.91712450650645883</v>
      </c>
      <c r="BQ14" s="304">
        <v>7.3162262439347259E-2</v>
      </c>
      <c r="BR14" s="304">
        <v>3.4647752679586091E-3</v>
      </c>
      <c r="BS14" s="304">
        <v>4.9321695322178654E-3</v>
      </c>
      <c r="BT14" s="304">
        <v>1.3162862540174803E-3</v>
      </c>
      <c r="BU14" s="304">
        <v>1</v>
      </c>
      <c r="BV14" s="71">
        <v>1.5855053400642076E-5</v>
      </c>
      <c r="BW14" s="71">
        <v>5.2256875875281866E-4</v>
      </c>
      <c r="BX14" s="71">
        <v>2.3206036747848706E-2</v>
      </c>
      <c r="BY14" s="71">
        <v>5.0993561154919704E-3</v>
      </c>
      <c r="BZ14" s="71">
        <v>1.3175801365038829E-3</v>
      </c>
      <c r="CA14" s="304">
        <v>1.5241486581366483E-2</v>
      </c>
      <c r="CB14" s="52">
        <v>0</v>
      </c>
      <c r="CC14" s="52">
        <v>0</v>
      </c>
      <c r="CD14" s="52">
        <v>0</v>
      </c>
      <c r="CE14" s="52" t="s">
        <v>597</v>
      </c>
      <c r="CF14" s="72">
        <v>68.321783967437199</v>
      </c>
    </row>
    <row r="15" spans="1:84" x14ac:dyDescent="0.35">
      <c r="A15" s="69" t="str">
        <f t="shared" si="0"/>
        <v>Diesel, Tractor l</v>
      </c>
      <c r="B15" s="70" t="s">
        <v>603</v>
      </c>
      <c r="C15" s="52">
        <v>1</v>
      </c>
      <c r="D15" s="71" t="s">
        <v>606</v>
      </c>
      <c r="E15" s="71">
        <v>43.051553505532404</v>
      </c>
      <c r="F15" s="71">
        <v>2.9972222610469403</v>
      </c>
      <c r="G15" s="71">
        <v>3.8602928877324102E-6</v>
      </c>
      <c r="H15" s="71">
        <v>1.3679936784158405E-3</v>
      </c>
      <c r="I15" s="71">
        <v>0</v>
      </c>
      <c r="J15" s="71">
        <v>2.0230424190767694E-2</v>
      </c>
      <c r="K15" s="71">
        <v>0</v>
      </c>
      <c r="L15" s="71">
        <v>0</v>
      </c>
      <c r="M15" s="71">
        <v>0</v>
      </c>
      <c r="N15" s="71">
        <v>0</v>
      </c>
      <c r="O15" s="71">
        <v>5.2077437884688723E-7</v>
      </c>
      <c r="P15" s="71">
        <v>2.0964353200415127E-5</v>
      </c>
      <c r="Q15" s="71">
        <v>2.4741202195404106E-5</v>
      </c>
      <c r="R15" s="71">
        <v>0</v>
      </c>
      <c r="S15" s="71">
        <v>0</v>
      </c>
      <c r="T15" s="71">
        <v>0</v>
      </c>
      <c r="U15" s="71">
        <v>0</v>
      </c>
      <c r="V15" s="71">
        <v>0</v>
      </c>
      <c r="W15" s="71">
        <v>0</v>
      </c>
      <c r="X15" s="71">
        <v>0</v>
      </c>
      <c r="Y15" s="71">
        <v>0</v>
      </c>
      <c r="Z15" s="71">
        <v>0</v>
      </c>
      <c r="AA15" s="71">
        <v>1.8037692700786575E-13</v>
      </c>
      <c r="AB15" s="71">
        <v>1.5916445229200415E-10</v>
      </c>
      <c r="AC15" s="71">
        <v>5.5299617985020306E-6</v>
      </c>
      <c r="AD15" s="71">
        <v>2.0152011368665294E-9</v>
      </c>
      <c r="AE15" s="71">
        <v>6.7954151470551158E-6</v>
      </c>
      <c r="AF15" s="71">
        <v>0.75583171566023355</v>
      </c>
      <c r="AG15" s="71">
        <v>9.045493326238304E-9</v>
      </c>
      <c r="AH15" s="71">
        <v>-3.01568960145337E-3</v>
      </c>
      <c r="AI15" s="71">
        <v>1.3955155913173809E-3</v>
      </c>
      <c r="AJ15" s="71">
        <v>3.1248764568727494</v>
      </c>
      <c r="AK15" s="71">
        <v>39.17184464844771</v>
      </c>
      <c r="AL15" s="71">
        <v>0</v>
      </c>
      <c r="AM15" s="71">
        <v>0</v>
      </c>
      <c r="AN15" s="71">
        <v>0</v>
      </c>
      <c r="AO15" s="71">
        <v>0</v>
      </c>
      <c r="AP15" s="71">
        <v>0</v>
      </c>
      <c r="AQ15" s="71">
        <v>0.10712663727071606</v>
      </c>
      <c r="AR15" s="71">
        <v>4.0859418685038312E-2</v>
      </c>
      <c r="AS15" s="71">
        <v>0</v>
      </c>
      <c r="AT15" s="71">
        <v>0</v>
      </c>
      <c r="AU15" s="71">
        <v>5.6220677006733985E-2</v>
      </c>
      <c r="AV15" s="71">
        <v>0.21066079613530056</v>
      </c>
      <c r="AW15" s="71">
        <v>3.6756927701926045E-10</v>
      </c>
      <c r="AX15" s="71">
        <v>0</v>
      </c>
      <c r="AY15" s="71">
        <v>0</v>
      </c>
      <c r="AZ15" s="71">
        <v>2.9413589380675482</v>
      </c>
      <c r="BA15" s="71">
        <v>0</v>
      </c>
      <c r="BB15" s="71">
        <v>0</v>
      </c>
      <c r="BC15" s="71">
        <v>2.890559973711803E-3</v>
      </c>
      <c r="BD15" s="71">
        <v>2.0459052859330075E-7</v>
      </c>
      <c r="BE15" s="71">
        <v>7.7995657568278295E-12</v>
      </c>
      <c r="BF15" s="71">
        <v>2.4718614397218899E-15</v>
      </c>
      <c r="BG15" s="71">
        <v>16829.027575658703</v>
      </c>
      <c r="BH15" s="71">
        <v>663.40108359477313</v>
      </c>
      <c r="BI15" s="71">
        <v>3.2138825393116521</v>
      </c>
      <c r="BJ15" s="71">
        <v>3.0720312114393979</v>
      </c>
      <c r="BK15" s="71">
        <v>0</v>
      </c>
      <c r="BL15" s="71">
        <v>0</v>
      </c>
      <c r="BM15" s="71">
        <v>0</v>
      </c>
      <c r="BN15" s="71">
        <v>0</v>
      </c>
      <c r="BO15" s="71">
        <v>0</v>
      </c>
      <c r="BP15" s="71">
        <v>0.91712450650645883</v>
      </c>
      <c r="BQ15" s="304">
        <v>7.3162262439347259E-2</v>
      </c>
      <c r="BR15" s="304">
        <v>3.4647752679586091E-3</v>
      </c>
      <c r="BS15" s="304">
        <v>4.9321695322178654E-3</v>
      </c>
      <c r="BT15" s="304">
        <v>1.3162862540174803E-3</v>
      </c>
      <c r="BU15" s="304">
        <v>1</v>
      </c>
      <c r="BV15" s="71">
        <v>1.5855053400642076E-5</v>
      </c>
      <c r="BW15" s="71">
        <v>5.2256875875281866E-4</v>
      </c>
      <c r="BX15" s="71">
        <v>2.3206036747848706E-2</v>
      </c>
      <c r="BY15" s="71">
        <v>5.0993561154919704E-3</v>
      </c>
      <c r="BZ15" s="71">
        <v>1.3175801365038829E-3</v>
      </c>
      <c r="CA15" s="304">
        <v>1.5241486581366483E-2</v>
      </c>
      <c r="CB15" s="52">
        <v>0</v>
      </c>
      <c r="CC15" s="52">
        <v>0</v>
      </c>
      <c r="CD15" s="52">
        <v>0</v>
      </c>
      <c r="CE15" s="52" t="s">
        <v>597</v>
      </c>
      <c r="CF15" s="72">
        <v>68.321783967437199</v>
      </c>
    </row>
    <row r="16" spans="1:84" x14ac:dyDescent="0.35">
      <c r="A16" s="63"/>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row>
    <row r="17" spans="1:84" x14ac:dyDescent="0.35">
      <c r="A17" s="69" t="str">
        <f>B17&amp;" "&amp;D17</f>
        <v>Ammonium Nitrate (AN) as N kg N as N</v>
      </c>
      <c r="B17" s="70" t="s">
        <v>607</v>
      </c>
      <c r="C17" s="70">
        <v>1</v>
      </c>
      <c r="D17" s="70" t="s">
        <v>608</v>
      </c>
      <c r="E17" s="71">
        <v>40.76249917242</v>
      </c>
      <c r="F17" s="71">
        <v>3.6419349150589282</v>
      </c>
      <c r="G17" s="71">
        <v>4.6952039600755008E-5</v>
      </c>
      <c r="H17" s="71">
        <v>1.9075412600341073E-3</v>
      </c>
      <c r="I17" s="71"/>
      <c r="J17" s="71">
        <v>2.3670762595359343E-2</v>
      </c>
      <c r="K17" s="71"/>
      <c r="L17" s="71"/>
      <c r="M17" s="71"/>
      <c r="N17" s="71"/>
      <c r="O17" s="71">
        <v>8.7651300023699551E-7</v>
      </c>
      <c r="P17" s="71">
        <v>2.3075085137625924E-6</v>
      </c>
      <c r="Q17" s="71">
        <v>5.5917077256926887E-3</v>
      </c>
      <c r="R17" s="71">
        <v>0</v>
      </c>
      <c r="S17" s="71">
        <v>5.5864027108888503E-3</v>
      </c>
      <c r="T17" s="71"/>
      <c r="U17" s="71"/>
      <c r="V17" s="71"/>
      <c r="W17" s="71"/>
      <c r="X17" s="71"/>
      <c r="Y17" s="71"/>
      <c r="Z17" s="71">
        <v>1.7860329710144926E-7</v>
      </c>
      <c r="AA17" s="71">
        <v>1.1035869573599348E-3</v>
      </c>
      <c r="AB17" s="71">
        <v>2.5669650073707182E-10</v>
      </c>
      <c r="AC17" s="71">
        <v>3.2328183291620203E-5</v>
      </c>
      <c r="AD17" s="71">
        <v>2.5706204127916471E-8</v>
      </c>
      <c r="AE17" s="71">
        <v>1.2160842507785524E-5</v>
      </c>
      <c r="AF17" s="71">
        <v>3.4438562262753494</v>
      </c>
      <c r="AG17" s="71">
        <v>1.0296603210383944E-7</v>
      </c>
      <c r="AH17" s="71">
        <v>3.8671547954803774E-6</v>
      </c>
      <c r="AI17" s="71">
        <v>1.3209604031601567E-4</v>
      </c>
      <c r="AJ17" s="71">
        <v>35.874597581584126</v>
      </c>
      <c r="AK17" s="71">
        <v>1.3988331935156491</v>
      </c>
      <c r="AL17" s="71">
        <v>0</v>
      </c>
      <c r="AM17" s="71">
        <v>0</v>
      </c>
      <c r="AN17" s="71">
        <v>0</v>
      </c>
      <c r="AO17" s="71">
        <v>0</v>
      </c>
      <c r="AP17" s="71">
        <v>0</v>
      </c>
      <c r="AQ17" s="71">
        <v>1.0182144787333816</v>
      </c>
      <c r="AR17" s="71">
        <v>0.40401946533896227</v>
      </c>
      <c r="AS17" s="71">
        <v>0</v>
      </c>
      <c r="AT17" s="71">
        <v>0</v>
      </c>
      <c r="AU17" s="71">
        <v>0.51808746252364224</v>
      </c>
      <c r="AV17" s="71">
        <v>1.831195384028669</v>
      </c>
      <c r="AW17" s="71">
        <v>1.0974069039397496E-6</v>
      </c>
      <c r="AX17" s="71">
        <v>4.6739130434782622E-6</v>
      </c>
      <c r="AY17" s="71">
        <v>7.0541799005247437E-5</v>
      </c>
      <c r="AZ17" s="71">
        <v>2.2411401912054019</v>
      </c>
      <c r="BA17" s="71">
        <v>3.9057971014492757E-4</v>
      </c>
      <c r="BB17" s="71">
        <v>4.384057971014493E-4</v>
      </c>
      <c r="BC17" s="71">
        <v>7.0065837991887814E-3</v>
      </c>
      <c r="BD17" s="71">
        <v>2.2803551508511743E-8</v>
      </c>
      <c r="BE17" s="71">
        <v>7.1387521810301608E-10</v>
      </c>
      <c r="BF17" s="71">
        <v>2.4142776767776937E-11</v>
      </c>
      <c r="BG17" s="71">
        <v>147572.97171205576</v>
      </c>
      <c r="BH17" s="71">
        <v>5244.3641241206569</v>
      </c>
      <c r="BI17" s="71">
        <v>5.2894575491875724</v>
      </c>
      <c r="BJ17" s="71">
        <v>5.0395682962404482</v>
      </c>
      <c r="BK17" s="71">
        <v>3.6898986637008298E-5</v>
      </c>
      <c r="BL17" s="71">
        <v>2.6827885375072468E-4</v>
      </c>
      <c r="BM17" s="71">
        <v>0</v>
      </c>
      <c r="BN17" s="71">
        <v>0</v>
      </c>
      <c r="BO17" s="71">
        <v>0</v>
      </c>
      <c r="BP17" s="73">
        <v>3.4080520903960861E-2</v>
      </c>
      <c r="BQ17" s="73">
        <v>0.8740319992890444</v>
      </c>
      <c r="BR17" s="73">
        <v>3.4650645899716392E-2</v>
      </c>
      <c r="BS17" s="73">
        <v>4.4614392090437278E-2</v>
      </c>
      <c r="BT17" s="73">
        <v>1.26224418168409E-2</v>
      </c>
      <c r="BU17" s="73">
        <v>1</v>
      </c>
      <c r="BV17" s="71">
        <v>3.3835051811613048E-5</v>
      </c>
      <c r="BW17" s="71">
        <v>3.4273210736683951E-5</v>
      </c>
      <c r="BX17" s="71">
        <v>2.0298115091445523E-3</v>
      </c>
      <c r="BY17" s="71">
        <v>6.8986419990602575E-4</v>
      </c>
      <c r="BZ17" s="71">
        <v>2.0749341284134057E-4</v>
      </c>
      <c r="CA17" s="74">
        <v>9.4187902085206819E-4</v>
      </c>
      <c r="CB17" s="52"/>
      <c r="CC17" s="52"/>
      <c r="CD17" s="52"/>
      <c r="CE17" s="66" t="s">
        <v>597</v>
      </c>
      <c r="CF17" s="75"/>
    </row>
    <row r="18" spans="1:84" x14ac:dyDescent="0.35">
      <c r="A18" s="69" t="str">
        <f t="shared" ref="A18:A44" si="1">B18&amp;" "&amp;D18</f>
        <v>Urea (UN) as N kg N as N</v>
      </c>
      <c r="B18" s="70" t="s">
        <v>609</v>
      </c>
      <c r="C18" s="70">
        <v>1</v>
      </c>
      <c r="D18" s="70" t="s">
        <v>608</v>
      </c>
      <c r="E18" s="71">
        <v>49.247279789967635</v>
      </c>
      <c r="F18" s="71">
        <v>2.7851115987485096</v>
      </c>
      <c r="G18" s="71">
        <v>2.391628412764756E-5</v>
      </c>
      <c r="H18" s="71">
        <v>2.0707056619443634E-3</v>
      </c>
      <c r="I18" s="71"/>
      <c r="J18" s="71">
        <v>2.5974132899706948E-2</v>
      </c>
      <c r="K18" s="71"/>
      <c r="L18" s="71"/>
      <c r="M18" s="71"/>
      <c r="N18" s="71"/>
      <c r="O18" s="71">
        <v>8.6872208292648633E-7</v>
      </c>
      <c r="P18" s="71">
        <v>1.6192939157805823E-6</v>
      </c>
      <c r="Q18" s="71">
        <v>8.4696848518934298E-6</v>
      </c>
      <c r="R18" s="71">
        <v>0</v>
      </c>
      <c r="S18" s="71">
        <v>8.5728777982063057E-7</v>
      </c>
      <c r="T18" s="71"/>
      <c r="U18" s="71"/>
      <c r="V18" s="71"/>
      <c r="W18" s="71"/>
      <c r="X18" s="71"/>
      <c r="Y18" s="71"/>
      <c r="Z18" s="71">
        <v>6.601943303571427E-8</v>
      </c>
      <c r="AA18" s="71">
        <v>4.0793303674959818E-4</v>
      </c>
      <c r="AB18" s="71">
        <v>3.167527646490259E-10</v>
      </c>
      <c r="AC18" s="71">
        <v>2.8892066066855749E-5</v>
      </c>
      <c r="AD18" s="71">
        <v>1.0971890038551449E-8</v>
      </c>
      <c r="AE18" s="71">
        <v>1.4846261088249778E-5</v>
      </c>
      <c r="AF18" s="71">
        <v>3.041678531935204</v>
      </c>
      <c r="AG18" s="71">
        <v>9.587537757110288E-8</v>
      </c>
      <c r="AH18" s="71">
        <v>4.1130588362768385E-5</v>
      </c>
      <c r="AI18" s="71">
        <v>1.2305839502750319E-4</v>
      </c>
      <c r="AJ18" s="71">
        <v>44.258385982590376</v>
      </c>
      <c r="AK18" s="71">
        <v>1.0920035186577564</v>
      </c>
      <c r="AL18" s="71">
        <v>0</v>
      </c>
      <c r="AM18" s="71">
        <v>0</v>
      </c>
      <c r="AN18" s="71">
        <v>0</v>
      </c>
      <c r="AO18" s="71">
        <v>0</v>
      </c>
      <c r="AP18" s="71">
        <v>0</v>
      </c>
      <c r="AQ18" s="71">
        <v>1.1252866199419918</v>
      </c>
      <c r="AR18" s="71">
        <v>0.45162544613650224</v>
      </c>
      <c r="AS18" s="71">
        <v>0</v>
      </c>
      <c r="AT18" s="71">
        <v>0</v>
      </c>
      <c r="AU18" s="71">
        <v>0.39767051730932818</v>
      </c>
      <c r="AV18" s="71">
        <v>2.0326918389531641</v>
      </c>
      <c r="AW18" s="71">
        <v>4.1078696104382006E-7</v>
      </c>
      <c r="AX18" s="71">
        <v>1.7276785714285712E-6</v>
      </c>
      <c r="AY18" s="71">
        <v>2.6160397589409943E-5</v>
      </c>
      <c r="AZ18" s="71">
        <v>2.7139712480252736</v>
      </c>
      <c r="BA18" s="71">
        <v>1.4437499999999997E-4</v>
      </c>
      <c r="BB18" s="71">
        <v>1.620535714285714E-4</v>
      </c>
      <c r="BC18" s="71">
        <v>8.6175594636169681E-3</v>
      </c>
      <c r="BD18" s="71">
        <v>1.5482139332510983E-8</v>
      </c>
      <c r="BE18" s="71">
        <v>2.8464243192501465E-10</v>
      </c>
      <c r="BF18" s="71">
        <v>8.9348714897841768E-12</v>
      </c>
      <c r="BG18" s="71">
        <v>161890.30518269367</v>
      </c>
      <c r="BH18" s="71">
        <v>6170.3217276575861</v>
      </c>
      <c r="BI18" s="71">
        <v>3.3430399661437828</v>
      </c>
      <c r="BJ18" s="71">
        <v>2.9387577862851324</v>
      </c>
      <c r="BK18" s="71">
        <v>1.695444791117985E-5</v>
      </c>
      <c r="BL18" s="71">
        <v>1.1191736687999999E-4</v>
      </c>
      <c r="BM18" s="71">
        <v>0</v>
      </c>
      <c r="BN18" s="71">
        <v>0</v>
      </c>
      <c r="BO18" s="71">
        <v>0</v>
      </c>
      <c r="BP18" s="73">
        <v>2.2124295030419051E-2</v>
      </c>
      <c r="BQ18" s="73">
        <v>0.89668721054357514</v>
      </c>
      <c r="BR18" s="73">
        <v>3.1948677079201328E-2</v>
      </c>
      <c r="BS18" s="73">
        <v>4.118290205346805E-2</v>
      </c>
      <c r="BT18" s="73">
        <v>8.0569152933364953E-3</v>
      </c>
      <c r="BU18" s="73">
        <v>1</v>
      </c>
      <c r="BV18" s="71">
        <v>4.1804093421959304E-5</v>
      </c>
      <c r="BW18" s="71">
        <v>3.7723892214320536E-5</v>
      </c>
      <c r="BX18" s="71">
        <v>2.3104205727402251E-3</v>
      </c>
      <c r="BY18" s="71">
        <v>8.1016299676840535E-4</v>
      </c>
      <c r="BZ18" s="71">
        <v>2.4449645512365466E-4</v>
      </c>
      <c r="CA18" s="74">
        <v>1.831154399285595E-3</v>
      </c>
      <c r="CB18" s="52"/>
      <c r="CC18" s="52"/>
      <c r="CD18" s="52"/>
      <c r="CE18" s="66" t="s">
        <v>597</v>
      </c>
      <c r="CF18" s="75"/>
    </row>
    <row r="19" spans="1:84" x14ac:dyDescent="0.35">
      <c r="A19" s="69" t="str">
        <f t="shared" si="1"/>
        <v>Calcium Ammonium Nitrate (CAN) as N kg N as N</v>
      </c>
      <c r="B19" s="70" t="s">
        <v>610</v>
      </c>
      <c r="C19" s="70">
        <v>1</v>
      </c>
      <c r="D19" s="70" t="s">
        <v>608</v>
      </c>
      <c r="E19" s="71">
        <v>42.842270546919458</v>
      </c>
      <c r="F19" s="71">
        <v>4.6596036406435157</v>
      </c>
      <c r="G19" s="71">
        <v>2.2507541436789053E-5</v>
      </c>
      <c r="H19" s="71">
        <v>2.134015048925905E-3</v>
      </c>
      <c r="I19" s="71"/>
      <c r="J19" s="71">
        <v>2.1423785725837696E-2</v>
      </c>
      <c r="K19" s="71"/>
      <c r="L19" s="71"/>
      <c r="M19" s="71"/>
      <c r="N19" s="71"/>
      <c r="O19" s="71">
        <v>6.7903380078332652E-7</v>
      </c>
      <c r="P19" s="71">
        <v>1.5968923484680104E-6</v>
      </c>
      <c r="Q19" s="71">
        <v>9.3430171010919251E-3</v>
      </c>
      <c r="R19" s="71">
        <v>0</v>
      </c>
      <c r="S19" s="71">
        <v>9.3354695702212529E-3</v>
      </c>
      <c r="T19" s="71"/>
      <c r="U19" s="71"/>
      <c r="V19" s="71"/>
      <c r="W19" s="71"/>
      <c r="X19" s="71"/>
      <c r="Y19" s="71"/>
      <c r="Z19" s="71">
        <v>0</v>
      </c>
      <c r="AA19" s="71">
        <v>8.7689464356726535E-13</v>
      </c>
      <c r="AB19" s="71">
        <v>2.6930744020045863E-10</v>
      </c>
      <c r="AC19" s="71">
        <v>2.0624470522713807E-5</v>
      </c>
      <c r="AD19" s="71">
        <v>1.8112361367989924E-9</v>
      </c>
      <c r="AE19" s="71">
        <v>1.2998049692945935E-5</v>
      </c>
      <c r="AF19" s="71">
        <v>2.4400361841383718</v>
      </c>
      <c r="AG19" s="71">
        <v>7.0289634418453928E-8</v>
      </c>
      <c r="AH19" s="71">
        <v>-7.1167948583281685E-5</v>
      </c>
      <c r="AI19" s="71">
        <v>1.3392554841155728E-4</v>
      </c>
      <c r="AJ19" s="71">
        <v>37.309383652045696</v>
      </c>
      <c r="AK19" s="71">
        <v>2.2505038681442295</v>
      </c>
      <c r="AL19" s="71">
        <v>0</v>
      </c>
      <c r="AM19" s="71">
        <v>0</v>
      </c>
      <c r="AN19" s="71">
        <v>0</v>
      </c>
      <c r="AO19" s="71">
        <v>0</v>
      </c>
      <c r="AP19" s="71">
        <v>0</v>
      </c>
      <c r="AQ19" s="71">
        <v>0.95479068538588319</v>
      </c>
      <c r="AR19" s="71">
        <v>0.37205612443310715</v>
      </c>
      <c r="AS19" s="71">
        <v>0</v>
      </c>
      <c r="AT19" s="71">
        <v>0</v>
      </c>
      <c r="AU19" s="71">
        <v>0.28701441528470534</v>
      </c>
      <c r="AV19" s="71">
        <v>1.6997975805788554</v>
      </c>
      <c r="AW19" s="71">
        <v>2.6510545748457108E-8</v>
      </c>
      <c r="AX19" s="71">
        <v>0</v>
      </c>
      <c r="AY19" s="71">
        <v>4.6563625040880032E-7</v>
      </c>
      <c r="AZ19" s="71">
        <v>2.3543949842896179</v>
      </c>
      <c r="BA19" s="71">
        <v>0</v>
      </c>
      <c r="BB19" s="71">
        <v>0</v>
      </c>
      <c r="BC19" s="71">
        <v>7.2548770930795405E-3</v>
      </c>
      <c r="BD19" s="71">
        <v>1.5023123608961087E-8</v>
      </c>
      <c r="BE19" s="71">
        <v>2.519391963783634E-11</v>
      </c>
      <c r="BF19" s="71">
        <v>1.2950437309856119E-14</v>
      </c>
      <c r="BG19" s="71">
        <v>130479.03877244462</v>
      </c>
      <c r="BH19" s="71">
        <v>5143.9706647717621</v>
      </c>
      <c r="BI19" s="71">
        <v>7.1250074643156704</v>
      </c>
      <c r="BJ19" s="71">
        <v>6.9166515772937958</v>
      </c>
      <c r="BK19" s="71">
        <v>1.8133055825550001E-5</v>
      </c>
      <c r="BL19" s="71">
        <v>6.9742526631085715E-5</v>
      </c>
      <c r="BM19" s="71">
        <v>0</v>
      </c>
      <c r="BN19" s="71">
        <v>0</v>
      </c>
      <c r="BO19" s="71">
        <v>0</v>
      </c>
      <c r="BP19" s="73">
        <v>5.249166586404215E-2</v>
      </c>
      <c r="BQ19" s="73">
        <v>0.87021921089674303</v>
      </c>
      <c r="BR19" s="73">
        <v>3.0947913655985378E-2</v>
      </c>
      <c r="BS19" s="73">
        <v>3.9646768841071954E-2</v>
      </c>
      <c r="BT19" s="73">
        <v>6.6944407421576793E-3</v>
      </c>
      <c r="BU19" s="73">
        <v>1</v>
      </c>
      <c r="BV19" s="71">
        <v>3.5290930375344334E-5</v>
      </c>
      <c r="BW19" s="71">
        <v>4.4864742089761327E-5</v>
      </c>
      <c r="BX19" s="71">
        <v>2.5066840642198689E-3</v>
      </c>
      <c r="BY19" s="71">
        <v>8.0275984656602898E-4</v>
      </c>
      <c r="BZ19" s="71">
        <v>2.3983142493379494E-4</v>
      </c>
      <c r="CA19" s="74">
        <v>8.2167344201200499E-4</v>
      </c>
      <c r="CB19" s="52"/>
      <c r="CC19" s="52"/>
      <c r="CD19" s="52"/>
      <c r="CE19" s="66" t="s">
        <v>597</v>
      </c>
      <c r="CF19" s="75"/>
    </row>
    <row r="20" spans="1:84" x14ac:dyDescent="0.35">
      <c r="A20" s="69" t="str">
        <f t="shared" si="1"/>
        <v>Ammonium Sulphate (AS) as N kg N as N</v>
      </c>
      <c r="B20" s="70" t="s">
        <v>611</v>
      </c>
      <c r="C20" s="70">
        <v>1</v>
      </c>
      <c r="D20" s="70" t="s">
        <v>608</v>
      </c>
      <c r="E20" s="71">
        <v>42.463687571254994</v>
      </c>
      <c r="F20" s="71">
        <v>2.3982763356773553</v>
      </c>
      <c r="G20" s="71">
        <v>1.907296348567265E-5</v>
      </c>
      <c r="H20" s="71">
        <v>2.2597952206141673E-3</v>
      </c>
      <c r="I20" s="71"/>
      <c r="J20" s="71">
        <v>2.1657813481231886E-2</v>
      </c>
      <c r="K20" s="71"/>
      <c r="L20" s="71"/>
      <c r="M20" s="71"/>
      <c r="N20" s="71"/>
      <c r="O20" s="71">
        <v>6.7369963905692894E-7</v>
      </c>
      <c r="P20" s="71">
        <v>1.5100482412490437E-6</v>
      </c>
      <c r="Q20" s="71">
        <v>7.4549416051012412E-6</v>
      </c>
      <c r="R20" s="71">
        <v>0</v>
      </c>
      <c r="S20" s="71">
        <v>1.2207813696739693E-8</v>
      </c>
      <c r="T20" s="71"/>
      <c r="U20" s="71"/>
      <c r="V20" s="71"/>
      <c r="W20" s="71"/>
      <c r="X20" s="71"/>
      <c r="Y20" s="71"/>
      <c r="Z20" s="71">
        <v>0</v>
      </c>
      <c r="AA20" s="71">
        <v>8.7490887777384448E-13</v>
      </c>
      <c r="AB20" s="71">
        <v>2.685560581956692E-10</v>
      </c>
      <c r="AC20" s="71">
        <v>2.0559542832053637E-5</v>
      </c>
      <c r="AD20" s="71">
        <v>1.8028098304881991E-9</v>
      </c>
      <c r="AE20" s="71">
        <v>1.1464414274243706</v>
      </c>
      <c r="AF20" s="71">
        <v>2.3654730421164261</v>
      </c>
      <c r="AG20" s="71">
        <v>7.0078399274423526E-8</v>
      </c>
      <c r="AH20" s="71">
        <v>-5.3845697090763514E-5</v>
      </c>
      <c r="AI20" s="71">
        <v>1.281817845545823E-4</v>
      </c>
      <c r="AJ20" s="71">
        <v>37.199277164409565</v>
      </c>
      <c r="AK20" s="71">
        <v>2.0174588083882798</v>
      </c>
      <c r="AL20" s="71">
        <v>0</v>
      </c>
      <c r="AM20" s="71">
        <v>0</v>
      </c>
      <c r="AN20" s="71">
        <v>0</v>
      </c>
      <c r="AO20" s="71">
        <v>0</v>
      </c>
      <c r="AP20" s="71">
        <v>0</v>
      </c>
      <c r="AQ20" s="71">
        <v>0.94083085183652693</v>
      </c>
      <c r="AR20" s="71">
        <v>0.37019262600839481</v>
      </c>
      <c r="AS20" s="71">
        <v>0</v>
      </c>
      <c r="AT20" s="71">
        <v>0</v>
      </c>
      <c r="AU20" s="71">
        <v>0.27769766421435033</v>
      </c>
      <c r="AV20" s="71">
        <v>1.6824806023203782</v>
      </c>
      <c r="AW20" s="71">
        <v>2.1624733730746091E-8</v>
      </c>
      <c r="AX20" s="71">
        <v>0</v>
      </c>
      <c r="AY20" s="71">
        <v>3.7833536494722763E-7</v>
      </c>
      <c r="AZ20" s="71">
        <v>2.3378826395060304</v>
      </c>
      <c r="BA20" s="71">
        <v>0</v>
      </c>
      <c r="BB20" s="71">
        <v>0</v>
      </c>
      <c r="BC20" s="71">
        <v>7.2422790828442114E-3</v>
      </c>
      <c r="BD20" s="71">
        <v>1.4181886927123907E-8</v>
      </c>
      <c r="BE20" s="71">
        <v>2.5124805796933333E-11</v>
      </c>
      <c r="BF20" s="71">
        <v>1.2913919615340965E-14</v>
      </c>
      <c r="BG20" s="71">
        <v>130092.03875209216</v>
      </c>
      <c r="BH20" s="71">
        <v>5128.7131919095755</v>
      </c>
      <c r="BI20" s="71">
        <v>2.8675158676245185</v>
      </c>
      <c r="BJ20" s="71">
        <v>2.527808509903037</v>
      </c>
      <c r="BK20" s="71">
        <v>1.4733338066666669E-5</v>
      </c>
      <c r="BL20" s="71">
        <v>5.666668830476191E-5</v>
      </c>
      <c r="BM20" s="71">
        <v>0</v>
      </c>
      <c r="BN20" s="71">
        <v>0</v>
      </c>
      <c r="BO20" s="71">
        <v>0</v>
      </c>
      <c r="BP20" s="73">
        <v>4.7483095598039329E-2</v>
      </c>
      <c r="BQ20" s="73">
        <v>0.87552560004272062</v>
      </c>
      <c r="BR20" s="73">
        <v>3.0856368849243688E-2</v>
      </c>
      <c r="BS20" s="73">
        <v>3.9599017808768962E-2</v>
      </c>
      <c r="BT20" s="73">
        <v>6.535917701227462E-3</v>
      </c>
      <c r="BU20" s="73">
        <v>1</v>
      </c>
      <c r="BV20" s="71">
        <v>3.5168460744595735E-5</v>
      </c>
      <c r="BW20" s="71">
        <v>4.1243884210512674E-5</v>
      </c>
      <c r="BX20" s="71">
        <v>2.3499294919901732E-3</v>
      </c>
      <c r="BY20" s="71">
        <v>7.6834647621855227E-4</v>
      </c>
      <c r="BZ20" s="71">
        <v>2.3010139811094511E-4</v>
      </c>
      <c r="CA20" s="74">
        <v>2.1274754991645649E-3</v>
      </c>
      <c r="CB20" s="52"/>
      <c r="CC20" s="52"/>
      <c r="CD20" s="52"/>
      <c r="CE20" s="66" t="s">
        <v>597</v>
      </c>
      <c r="CF20" s="75"/>
    </row>
    <row r="21" spans="1:84" x14ac:dyDescent="0.35">
      <c r="A21" s="69" t="str">
        <f t="shared" si="1"/>
        <v>Mean N fertiliser for grassland as N kg N as N</v>
      </c>
      <c r="B21" s="70" t="s">
        <v>612</v>
      </c>
      <c r="C21" s="70">
        <v>1</v>
      </c>
      <c r="D21" s="70" t="s">
        <v>608</v>
      </c>
      <c r="E21" s="71">
        <v>41.628846668876903</v>
      </c>
      <c r="F21" s="71">
        <v>3.5481165927728981</v>
      </c>
      <c r="G21" s="71">
        <v>4.3860542560257915E-5</v>
      </c>
      <c r="H21" s="71">
        <v>1.9334082365200351E-3</v>
      </c>
      <c r="I21" s="71"/>
      <c r="J21" s="71">
        <v>2.3816530048746228E-2</v>
      </c>
      <c r="K21" s="71"/>
      <c r="L21" s="76"/>
      <c r="M21" s="76"/>
      <c r="N21" s="76"/>
      <c r="O21" s="76">
        <v>8.6888385210867595E-7</v>
      </c>
      <c r="P21" s="76">
        <v>2.2161553745439423E-6</v>
      </c>
      <c r="Q21" s="76">
        <v>4.9953307226482911E-3</v>
      </c>
      <c r="R21" s="76">
        <v>0</v>
      </c>
      <c r="S21" s="76">
        <v>4.9897325800975154E-3</v>
      </c>
      <c r="T21" s="71"/>
      <c r="U21" s="71"/>
      <c r="V21" s="76"/>
      <c r="W21" s="76"/>
      <c r="X21" s="76"/>
      <c r="Y21" s="76"/>
      <c r="Z21" s="76">
        <v>1.6181785834629297E-7</v>
      </c>
      <c r="AA21" s="76">
        <v>9.9986999598938625E-4</v>
      </c>
      <c r="AB21" s="76">
        <v>2.6279682641202221E-10</v>
      </c>
      <c r="AC21" s="76">
        <v>3.1599861956695723E-5</v>
      </c>
      <c r="AD21" s="76">
        <v>2.3491381083171923E-8</v>
      </c>
      <c r="AE21" s="76">
        <v>2.4180765433734749E-2</v>
      </c>
      <c r="AF21" s="76">
        <v>3.3697645442191586</v>
      </c>
      <c r="AG21" s="76">
        <v>1.0116880208599632E-7</v>
      </c>
      <c r="AH21" s="76">
        <v>5.1826967908405362E-6</v>
      </c>
      <c r="AI21" s="76">
        <v>1.3118251145673556E-4</v>
      </c>
      <c r="AJ21" s="76">
        <v>36.714905623795659</v>
      </c>
      <c r="AK21" s="76">
        <v>1.3941221322903539</v>
      </c>
      <c r="AL21" s="76">
        <v>0</v>
      </c>
      <c r="AM21" s="76">
        <v>0</v>
      </c>
      <c r="AN21" s="76">
        <v>0</v>
      </c>
      <c r="AO21" s="76">
        <v>0</v>
      </c>
      <c r="AP21" s="76">
        <v>0</v>
      </c>
      <c r="AQ21" s="76">
        <v>1.0258752908274578</v>
      </c>
      <c r="AR21" s="76">
        <v>0.40738792535620238</v>
      </c>
      <c r="AS21" s="76">
        <v>0</v>
      </c>
      <c r="AT21" s="76">
        <v>0</v>
      </c>
      <c r="AU21" s="76">
        <v>0.49856307703024155</v>
      </c>
      <c r="AV21" s="76">
        <v>1.8453874324964856</v>
      </c>
      <c r="AW21" s="76">
        <v>9.9556410741518926E-7</v>
      </c>
      <c r="AX21" s="76">
        <v>4.2346508214954979E-6</v>
      </c>
      <c r="AY21" s="76">
        <v>6.3934362259781256E-5</v>
      </c>
      <c r="AZ21" s="76">
        <v>2.2894249761364662</v>
      </c>
      <c r="BA21" s="76">
        <v>3.538723709745849E-4</v>
      </c>
      <c r="BB21" s="76">
        <v>3.9720368170616678E-4</v>
      </c>
      <c r="BC21" s="76">
        <v>7.1672916650508782E-3</v>
      </c>
      <c r="BD21" s="76">
        <v>2.182587761021802E-8</v>
      </c>
      <c r="BE21" s="76">
        <v>6.4961236190465198E-10</v>
      </c>
      <c r="BF21" s="76">
        <v>2.1875251141246093E-11</v>
      </c>
      <c r="BG21" s="76">
        <v>148332.85689743643</v>
      </c>
      <c r="BH21" s="76">
        <v>5328.2210513502105</v>
      </c>
      <c r="BI21" s="76">
        <v>5.0785246988290673</v>
      </c>
      <c r="BJ21" s="76">
        <v>4.8126817199127929</v>
      </c>
      <c r="BK21" s="76">
        <v>3.4295696272482178E-5</v>
      </c>
      <c r="BL21" s="76">
        <v>2.4639070362742328E-4</v>
      </c>
      <c r="BM21" s="76">
        <v>0</v>
      </c>
      <c r="BN21" s="76">
        <v>0</v>
      </c>
      <c r="BO21" s="76">
        <v>0</v>
      </c>
      <c r="BP21" s="73">
        <v>3.3283533756453987E-2</v>
      </c>
      <c r="BQ21" s="73">
        <v>0.87653855597790531</v>
      </c>
      <c r="BR21" s="73">
        <v>3.4217995348342502E-2</v>
      </c>
      <c r="BS21" s="73">
        <v>4.4057126331052736E-2</v>
      </c>
      <c r="BT21" s="73">
        <v>1.1902788586245321E-2</v>
      </c>
      <c r="BU21" s="73">
        <v>1</v>
      </c>
      <c r="BV21" s="76">
        <v>3.4636575073460956E-5</v>
      </c>
      <c r="BW21" s="76">
        <v>3.4887027775222809E-5</v>
      </c>
      <c r="BX21" s="76">
        <v>2.0694324076725406E-3</v>
      </c>
      <c r="BY21" s="76">
        <v>7.0439850212683898E-4</v>
      </c>
      <c r="BZ21" s="76">
        <v>2.1190011450098264E-4</v>
      </c>
      <c r="CA21" s="74">
        <v>1.0041047554282488E-3</v>
      </c>
      <c r="CB21" s="52"/>
      <c r="CC21" s="52"/>
      <c r="CD21" s="52"/>
      <c r="CE21" s="66" t="s">
        <v>597</v>
      </c>
      <c r="CF21" s="75"/>
    </row>
    <row r="22" spans="1:84" x14ac:dyDescent="0.35">
      <c r="A22" s="69" t="str">
        <f t="shared" si="1"/>
        <v>Triple SuperPhosphate as P kg P as P</v>
      </c>
      <c r="B22" s="70" t="s">
        <v>613</v>
      </c>
      <c r="C22" s="70">
        <v>1</v>
      </c>
      <c r="D22" s="70" t="s">
        <v>614</v>
      </c>
      <c r="E22" s="71">
        <v>18.805945232110624</v>
      </c>
      <c r="F22" s="71">
        <v>1.124031807924359</v>
      </c>
      <c r="G22" s="71">
        <v>1.8969276516714813E-5</v>
      </c>
      <c r="H22" s="71">
        <v>6.63325511312451E-3</v>
      </c>
      <c r="I22" s="71"/>
      <c r="J22" s="71">
        <v>8.7011577048968902E-3</v>
      </c>
      <c r="K22" s="71"/>
      <c r="L22" s="71"/>
      <c r="M22" s="71"/>
      <c r="N22" s="71"/>
      <c r="O22" s="71">
        <v>3.1395928482861748E-7</v>
      </c>
      <c r="P22" s="71">
        <v>4.7056605451501544E-6</v>
      </c>
      <c r="Q22" s="71">
        <v>7.1598310697819355E-6</v>
      </c>
      <c r="R22" s="71">
        <v>0</v>
      </c>
      <c r="S22" s="71">
        <v>1.2232426224354085E-8</v>
      </c>
      <c r="T22" s="71"/>
      <c r="U22" s="71"/>
      <c r="V22" s="71"/>
      <c r="W22" s="71"/>
      <c r="X22" s="71"/>
      <c r="Y22" s="71"/>
      <c r="Z22" s="71">
        <v>0</v>
      </c>
      <c r="AA22" s="71">
        <v>3.596015210722899E-13</v>
      </c>
      <c r="AB22" s="71">
        <v>9.5907527851422416E-11</v>
      </c>
      <c r="AC22" s="71">
        <v>1.0365930428986669E-5</v>
      </c>
      <c r="AD22" s="77">
        <v>1.0000000007724326</v>
      </c>
      <c r="AE22" s="71">
        <v>4.6599772845313527E-6</v>
      </c>
      <c r="AF22" s="71">
        <v>1.4083360594877261</v>
      </c>
      <c r="AG22" s="71">
        <v>3.6124289297462515E-8</v>
      </c>
      <c r="AH22" s="71">
        <v>-6.3690285318491883E-4</v>
      </c>
      <c r="AI22" s="71">
        <v>2.7199716079470367E-4</v>
      </c>
      <c r="AJ22" s="71">
        <v>8.0713585237509129</v>
      </c>
      <c r="AK22" s="71">
        <v>8.5984130778391847</v>
      </c>
      <c r="AL22" s="71">
        <v>0</v>
      </c>
      <c r="AM22" s="71">
        <v>0</v>
      </c>
      <c r="AN22" s="71">
        <v>0</v>
      </c>
      <c r="AO22" s="71">
        <v>0</v>
      </c>
      <c r="AP22" s="71">
        <v>0</v>
      </c>
      <c r="AQ22" s="71">
        <v>0.39887822841614307</v>
      </c>
      <c r="AR22" s="71">
        <v>0.25720991711107694</v>
      </c>
      <c r="AS22" s="71">
        <v>0</v>
      </c>
      <c r="AT22" s="71">
        <v>0</v>
      </c>
      <c r="AU22" s="71">
        <v>0.1834139103371252</v>
      </c>
      <c r="AV22" s="71">
        <v>0.89260359035241865</v>
      </c>
      <c r="AW22" s="71">
        <v>2.1410964273696397E-8</v>
      </c>
      <c r="AX22" s="71">
        <v>0</v>
      </c>
      <c r="AY22" s="71">
        <v>3.7909813786042763E-7</v>
      </c>
      <c r="AZ22" s="71">
        <v>1.1026267130402176</v>
      </c>
      <c r="BA22" s="71">
        <v>0</v>
      </c>
      <c r="BB22" s="71">
        <v>0</v>
      </c>
      <c r="BC22" s="71">
        <v>2.0342703163882957E-3</v>
      </c>
      <c r="BD22" s="71">
        <v>4.5002003647650589E-8</v>
      </c>
      <c r="BE22" s="71">
        <v>1.052165889163803E-11</v>
      </c>
      <c r="BF22" s="71">
        <v>6.1724301270553952E-15</v>
      </c>
      <c r="BG22" s="71">
        <v>66981.722945975242</v>
      </c>
      <c r="BH22" s="71">
        <v>2640.7450803882352</v>
      </c>
      <c r="BI22" s="71">
        <v>1.2592674448923911</v>
      </c>
      <c r="BJ22" s="71">
        <v>1.1637617903848905</v>
      </c>
      <c r="BK22" s="71">
        <v>1.4763042377284948E-5</v>
      </c>
      <c r="BL22" s="71">
        <v>5.6780935660215053E-5</v>
      </c>
      <c r="BM22" s="71">
        <v>0</v>
      </c>
      <c r="BN22" s="71">
        <v>0</v>
      </c>
      <c r="BO22" s="71">
        <v>0</v>
      </c>
      <c r="BP22" s="73">
        <v>0.46725738695295033</v>
      </c>
      <c r="BQ22" s="73">
        <v>0.43861603982348357</v>
      </c>
      <c r="BR22" s="73">
        <v>3.5653326923774181E-2</v>
      </c>
      <c r="BS22" s="73">
        <v>4.8506115888736247E-2</v>
      </c>
      <c r="BT22" s="73">
        <v>9.9671304110554512E-3</v>
      </c>
      <c r="BU22" s="73">
        <v>1</v>
      </c>
      <c r="BV22" s="71">
        <v>2.8353904252175155E-4</v>
      </c>
      <c r="BW22" s="71">
        <v>2.1755669484169169E-3</v>
      </c>
      <c r="BX22" s="71">
        <v>3.3593533256233085E-3</v>
      </c>
      <c r="BY22" s="71">
        <v>7.5429419731367579E-4</v>
      </c>
      <c r="BZ22" s="71">
        <v>3.8631350086360927E-4</v>
      </c>
      <c r="CA22" s="74">
        <v>5.9509367685950778E-3</v>
      </c>
      <c r="CB22" s="52"/>
      <c r="CC22" s="52"/>
      <c r="CD22" s="52"/>
      <c r="CE22" s="66" t="s">
        <v>597</v>
      </c>
      <c r="CF22" s="75"/>
    </row>
    <row r="23" spans="1:84" x14ac:dyDescent="0.35">
      <c r="A23" s="69" t="str">
        <f t="shared" si="1"/>
        <v>Single SuperPhosphate as P kg P as P</v>
      </c>
      <c r="B23" s="70" t="s">
        <v>615</v>
      </c>
      <c r="C23" s="70">
        <v>1</v>
      </c>
      <c r="D23" s="70" t="s">
        <v>614</v>
      </c>
      <c r="E23" s="71">
        <v>12.925467233654867</v>
      </c>
      <c r="F23" s="71">
        <v>0.74484139810529282</v>
      </c>
      <c r="G23" s="71">
        <v>3.6870038045750162E-5</v>
      </c>
      <c r="H23" s="71">
        <v>4.9578977264267479E-3</v>
      </c>
      <c r="I23" s="71"/>
      <c r="J23" s="71">
        <v>5.7405923551485192E-3</v>
      </c>
      <c r="K23" s="71"/>
      <c r="L23" s="71"/>
      <c r="M23" s="71"/>
      <c r="N23" s="71"/>
      <c r="O23" s="71">
        <v>1.9446062985313578E-7</v>
      </c>
      <c r="P23" s="71">
        <v>4.0300410108873406E-6</v>
      </c>
      <c r="Q23" s="71">
        <v>5.3517539365828924E-6</v>
      </c>
      <c r="R23" s="71">
        <v>0</v>
      </c>
      <c r="S23" s="71">
        <v>2.7959831369952194E-8</v>
      </c>
      <c r="T23" s="71"/>
      <c r="U23" s="71"/>
      <c r="V23" s="71"/>
      <c r="W23" s="71"/>
      <c r="X23" s="71"/>
      <c r="Y23" s="71"/>
      <c r="Z23" s="71">
        <v>0</v>
      </c>
      <c r="AA23" s="71">
        <v>1.6101354268379399E-13</v>
      </c>
      <c r="AB23" s="71">
        <v>4.9902575992976058E-11</v>
      </c>
      <c r="AC23" s="71">
        <v>4.8826763334782461E-6</v>
      </c>
      <c r="AD23" s="77">
        <v>1.0000000004764749</v>
      </c>
      <c r="AE23" s="71">
        <v>2.9000032328552501</v>
      </c>
      <c r="AF23" s="71">
        <v>1.2148740212292659</v>
      </c>
      <c r="AG23" s="71">
        <v>1.6486275390177824E-8</v>
      </c>
      <c r="AH23" s="71">
        <v>-6.0638251512340566E-4</v>
      </c>
      <c r="AI23" s="71">
        <v>2.5683997152768537E-4</v>
      </c>
      <c r="AJ23" s="71">
        <v>3.4904880502964204</v>
      </c>
      <c r="AK23" s="71">
        <v>8.0306572795361699</v>
      </c>
      <c r="AL23" s="71">
        <v>0</v>
      </c>
      <c r="AM23" s="71">
        <v>0</v>
      </c>
      <c r="AN23" s="71">
        <v>0</v>
      </c>
      <c r="AO23" s="71">
        <v>0</v>
      </c>
      <c r="AP23" s="71">
        <v>0</v>
      </c>
      <c r="AQ23" s="71">
        <v>0.27682984657340548</v>
      </c>
      <c r="AR23" s="71">
        <v>0.12000321919606217</v>
      </c>
      <c r="AS23" s="71">
        <v>0</v>
      </c>
      <c r="AT23" s="71">
        <v>0</v>
      </c>
      <c r="AU23" s="71">
        <v>0.15225552133634682</v>
      </c>
      <c r="AV23" s="71">
        <v>0.50594623066406408</v>
      </c>
      <c r="AW23" s="71">
        <v>4.8589424246183808E-8</v>
      </c>
      <c r="AX23" s="71">
        <v>0</v>
      </c>
      <c r="AY23" s="71">
        <v>8.6651002939526321E-7</v>
      </c>
      <c r="AZ23" s="71">
        <v>0.73237361498460474</v>
      </c>
      <c r="BA23" s="71">
        <v>0</v>
      </c>
      <c r="BB23" s="71">
        <v>0</v>
      </c>
      <c r="BC23" s="71">
        <v>9.536338499117824E-4</v>
      </c>
      <c r="BD23" s="71">
        <v>3.8850361737086277E-8</v>
      </c>
      <c r="BE23" s="71">
        <v>5.0568328458393449E-12</v>
      </c>
      <c r="BF23" s="71">
        <v>2.8400888039856824E-15</v>
      </c>
      <c r="BG23" s="71">
        <v>30529.134762571575</v>
      </c>
      <c r="BH23" s="71">
        <v>1203.6084830070195</v>
      </c>
      <c r="BI23" s="71">
        <v>0.80986302830533941</v>
      </c>
      <c r="BJ23" s="71">
        <v>0.76520187678835605</v>
      </c>
      <c r="BK23" s="71">
        <v>3.3744096862365596E-5</v>
      </c>
      <c r="BL23" s="71">
        <v>1.2978499579477726E-4</v>
      </c>
      <c r="BM23" s="71">
        <v>0</v>
      </c>
      <c r="BN23" s="71">
        <v>0</v>
      </c>
      <c r="BO23" s="71">
        <v>0</v>
      </c>
      <c r="BP23" s="73">
        <v>0.6385609290963552</v>
      </c>
      <c r="BQ23" s="73">
        <v>0.27754755492762634</v>
      </c>
      <c r="BR23" s="73">
        <v>3.1554340118539102E-2</v>
      </c>
      <c r="BS23" s="73">
        <v>4.0230517114572185E-2</v>
      </c>
      <c r="BT23" s="73">
        <v>1.2106658742907154E-2</v>
      </c>
      <c r="BU23" s="73">
        <v>1</v>
      </c>
      <c r="BV23" s="71">
        <v>2.7187407762211313E-4</v>
      </c>
      <c r="BW23" s="71">
        <v>2.1467353408072096E-3</v>
      </c>
      <c r="BX23" s="71">
        <v>3.2325123122126059E-3</v>
      </c>
      <c r="BY23" s="71">
        <v>6.8713096299252707E-4</v>
      </c>
      <c r="BZ23" s="71">
        <v>2.9218620345503103E-4</v>
      </c>
      <c r="CA23" s="74">
        <v>8.4700075074113697E-3</v>
      </c>
      <c r="CB23" s="52"/>
      <c r="CC23" s="52"/>
      <c r="CD23" s="52"/>
      <c r="CE23" s="66" t="s">
        <v>597</v>
      </c>
      <c r="CF23" s="75"/>
    </row>
    <row r="24" spans="1:84" x14ac:dyDescent="0.35">
      <c r="A24" s="69" t="str">
        <f t="shared" si="1"/>
        <v>Rock P from 25% P2O5 Tunisian kg P as P</v>
      </c>
      <c r="B24" s="70" t="s">
        <v>616</v>
      </c>
      <c r="C24" s="70">
        <v>1</v>
      </c>
      <c r="D24" s="70" t="s">
        <v>614</v>
      </c>
      <c r="E24" s="71">
        <v>15.843302534744328</v>
      </c>
      <c r="F24" s="71">
        <v>0.97828702598363571</v>
      </c>
      <c r="G24" s="71">
        <v>9.4297322705907347E-5</v>
      </c>
      <c r="H24" s="71">
        <v>9.9548152372077609E-3</v>
      </c>
      <c r="I24" s="71"/>
      <c r="J24" s="71">
        <v>1.3101171903442422E-2</v>
      </c>
      <c r="K24" s="71"/>
      <c r="L24" s="71"/>
      <c r="M24" s="71"/>
      <c r="N24" s="71"/>
      <c r="O24" s="71">
        <v>6.4592000177679958E-7</v>
      </c>
      <c r="P24" s="71">
        <v>7.7237506758503994E-6</v>
      </c>
      <c r="Q24" s="71">
        <v>8.5514717143495865E-6</v>
      </c>
      <c r="R24" s="71">
        <v>0</v>
      </c>
      <c r="S24" s="71">
        <v>4.1749666360095862E-6</v>
      </c>
      <c r="T24" s="71"/>
      <c r="U24" s="71"/>
      <c r="V24" s="71"/>
      <c r="W24" s="71"/>
      <c r="X24" s="71"/>
      <c r="Y24" s="71"/>
      <c r="Z24" s="71">
        <v>3.2176593866129036E-7</v>
      </c>
      <c r="AA24" s="71">
        <v>1.9881866614431722E-3</v>
      </c>
      <c r="AB24" s="71">
        <v>5.5469124003580854E-11</v>
      </c>
      <c r="AC24" s="71">
        <v>2.7655948366256276E-5</v>
      </c>
      <c r="AD24" s="77">
        <v>1.0000000438168162</v>
      </c>
      <c r="AE24" s="71">
        <v>3.3237936336446695E-6</v>
      </c>
      <c r="AF24" s="71">
        <v>3.4405079171936026</v>
      </c>
      <c r="AG24" s="71">
        <v>8.0316090607330205E-8</v>
      </c>
      <c r="AH24" s="71">
        <v>-8.2693076454648181E-4</v>
      </c>
      <c r="AI24" s="71">
        <v>4.2843717739873995E-4</v>
      </c>
      <c r="AJ24" s="71">
        <v>2.9253543432091078</v>
      </c>
      <c r="AK24" s="71">
        <v>11.16913634317261</v>
      </c>
      <c r="AL24" s="71">
        <v>0</v>
      </c>
      <c r="AM24" s="71">
        <v>0</v>
      </c>
      <c r="AN24" s="71">
        <v>0</v>
      </c>
      <c r="AO24" s="71">
        <v>0</v>
      </c>
      <c r="AP24" s="71">
        <v>0</v>
      </c>
      <c r="AQ24" s="71">
        <v>0.49128551316182512</v>
      </c>
      <c r="AR24" s="71">
        <v>0.20517516208568276</v>
      </c>
      <c r="AS24" s="71">
        <v>0</v>
      </c>
      <c r="AT24" s="71">
        <v>0</v>
      </c>
      <c r="AU24" s="71">
        <v>0.61577261031511421</v>
      </c>
      <c r="AV24" s="71">
        <v>0.89853052868094951</v>
      </c>
      <c r="AW24" s="71">
        <v>1.9939057104624362E-6</v>
      </c>
      <c r="AX24" s="71">
        <v>8.4203709677419383E-6</v>
      </c>
      <c r="AY24" s="71">
        <v>1.2739881296856801E-4</v>
      </c>
      <c r="AZ24" s="71">
        <v>0.96344768204328013</v>
      </c>
      <c r="BA24" s="71">
        <v>7.0365580645161303E-4</v>
      </c>
      <c r="BB24" s="71">
        <v>7.8981774193548414E-4</v>
      </c>
      <c r="BC24" s="71">
        <v>1.1007664560759715E-3</v>
      </c>
      <c r="BD24" s="71">
        <v>7.6320226525985051E-8</v>
      </c>
      <c r="BE24" s="71">
        <v>1.2478929087566456E-9</v>
      </c>
      <c r="BF24" s="71">
        <v>4.3475317564265125E-11</v>
      </c>
      <c r="BG24" s="71">
        <v>70519.674408634572</v>
      </c>
      <c r="BH24" s="71">
        <v>1746.9613438453575</v>
      </c>
      <c r="BI24" s="71">
        <v>1.0528180216769929</v>
      </c>
      <c r="BJ24" s="71">
        <v>1.0022961387813583</v>
      </c>
      <c r="BK24" s="71">
        <v>7.8664391822029091E-5</v>
      </c>
      <c r="BL24" s="71">
        <v>5.3020086924180656E-4</v>
      </c>
      <c r="BM24" s="71">
        <v>0</v>
      </c>
      <c r="BN24" s="71">
        <v>0</v>
      </c>
      <c r="BO24" s="71">
        <v>0</v>
      </c>
      <c r="BP24" s="73">
        <v>0.68500226983542556</v>
      </c>
      <c r="BQ24" s="73">
        <v>0.17941175607513049</v>
      </c>
      <c r="BR24" s="73">
        <v>4.2713879456515037E-2</v>
      </c>
      <c r="BS24" s="73">
        <v>5.5106807970798116E-2</v>
      </c>
      <c r="BT24" s="73">
        <v>3.7765286662130908E-2</v>
      </c>
      <c r="BU24" s="73">
        <v>1</v>
      </c>
      <c r="BV24" s="71">
        <v>6.5730855275547258E-4</v>
      </c>
      <c r="BW24" s="71">
        <v>5.1714824602236932E-3</v>
      </c>
      <c r="BX24" s="71">
        <v>3.7500608733837303E-3</v>
      </c>
      <c r="BY24" s="71">
        <v>7.3850889758868819E-4</v>
      </c>
      <c r="BZ24" s="71">
        <v>3.8238247043063944E-4</v>
      </c>
      <c r="CA24" s="74">
        <v>7.3079831527001248E-3</v>
      </c>
      <c r="CB24" s="52"/>
      <c r="CC24" s="52"/>
      <c r="CD24" s="52"/>
      <c r="CE24" s="66" t="s">
        <v>597</v>
      </c>
      <c r="CF24" s="75"/>
    </row>
    <row r="25" spans="1:84" x14ac:dyDescent="0.35">
      <c r="A25" s="69" t="str">
        <f t="shared" si="1"/>
        <v>Mean P fertiliser for grassland as P kg P as P</v>
      </c>
      <c r="B25" s="70" t="s">
        <v>617</v>
      </c>
      <c r="C25" s="70">
        <v>1</v>
      </c>
      <c r="D25" s="70" t="s">
        <v>614</v>
      </c>
      <c r="E25" s="71">
        <v>18.675308202241641</v>
      </c>
      <c r="F25" s="71">
        <v>1.115607950389891</v>
      </c>
      <c r="G25" s="71">
        <v>1.9366948664992587E-5</v>
      </c>
      <c r="H25" s="71">
        <v>6.5960364188236836E-3</v>
      </c>
      <c r="I25" s="71"/>
      <c r="J25" s="71">
        <v>8.6353876324426256E-3</v>
      </c>
      <c r="K25" s="71"/>
      <c r="L25" s="71"/>
      <c r="M25" s="71"/>
      <c r="N25" s="71"/>
      <c r="O25" s="71">
        <v>3.1130457727534804E-7</v>
      </c>
      <c r="P25" s="71">
        <v>4.6906514031551094E-6</v>
      </c>
      <c r="Q25" s="71">
        <v>7.1196639564082994E-6</v>
      </c>
      <c r="R25" s="71">
        <v>0</v>
      </c>
      <c r="S25" s="71">
        <v>1.2581816443364615E-8</v>
      </c>
      <c r="T25" s="71"/>
      <c r="U25" s="71"/>
      <c r="V25" s="71"/>
      <c r="W25" s="71"/>
      <c r="X25" s="71"/>
      <c r="Y25" s="71"/>
      <c r="Z25" s="71">
        <v>0</v>
      </c>
      <c r="AA25" s="71">
        <v>3.5518981446082545E-13</v>
      </c>
      <c r="AB25" s="71">
        <v>9.488551054744965E-11</v>
      </c>
      <c r="AC25" s="71">
        <v>1.0244117877482818E-5</v>
      </c>
      <c r="AD25" s="77">
        <v>1.0000000007658578</v>
      </c>
      <c r="AE25" s="71">
        <v>6.4429218709507824E-2</v>
      </c>
      <c r="AF25" s="71">
        <v>1.404038227563668</v>
      </c>
      <c r="AG25" s="71">
        <v>3.5688023434373304E-8</v>
      </c>
      <c r="AH25" s="71">
        <v>-6.3622483239885342E-4</v>
      </c>
      <c r="AI25" s="71">
        <v>2.7166043813584408E-4</v>
      </c>
      <c r="AJ25" s="71">
        <v>7.9695927637185209</v>
      </c>
      <c r="AK25" s="71">
        <v>8.5858001692966006</v>
      </c>
      <c r="AL25" s="71">
        <v>0</v>
      </c>
      <c r="AM25" s="71">
        <v>0</v>
      </c>
      <c r="AN25" s="71">
        <v>0</v>
      </c>
      <c r="AO25" s="71">
        <v>0</v>
      </c>
      <c r="AP25" s="71">
        <v>0</v>
      </c>
      <c r="AQ25" s="71">
        <v>0.39616687772178838</v>
      </c>
      <c r="AR25" s="71">
        <v>0.25416181872546012</v>
      </c>
      <c r="AS25" s="71">
        <v>0</v>
      </c>
      <c r="AT25" s="71">
        <v>0</v>
      </c>
      <c r="AU25" s="71">
        <v>0.18272171500952888</v>
      </c>
      <c r="AV25" s="71">
        <v>0.88401385171893787</v>
      </c>
      <c r="AW25" s="71">
        <v>2.2014743981426129E-8</v>
      </c>
      <c r="AX25" s="71">
        <v>0</v>
      </c>
      <c r="AY25" s="71">
        <v>3.899261763038422E-7</v>
      </c>
      <c r="AZ25" s="71">
        <v>1.0944014012471159</v>
      </c>
      <c r="BA25" s="71">
        <v>0</v>
      </c>
      <c r="BB25" s="71">
        <v>0</v>
      </c>
      <c r="BC25" s="71">
        <v>2.0102635709526909E-3</v>
      </c>
      <c r="BD25" s="71">
        <v>4.4865342609513092E-8</v>
      </c>
      <c r="BE25" s="71">
        <v>1.0400255726187661E-11</v>
      </c>
      <c r="BF25" s="71">
        <v>6.0984009115613802E-15</v>
      </c>
      <c r="BG25" s="71">
        <v>66171.914992851787</v>
      </c>
      <c r="BH25" s="71">
        <v>2608.8185504960734</v>
      </c>
      <c r="BI25" s="71">
        <v>1.2492837567962274</v>
      </c>
      <c r="BJ25" s="71">
        <v>1.1549076320408305</v>
      </c>
      <c r="BK25" s="71">
        <v>1.5184713639784933E-5</v>
      </c>
      <c r="BL25" s="71">
        <v>5.8402748306544165E-5</v>
      </c>
      <c r="BM25" s="71">
        <v>0</v>
      </c>
      <c r="BN25" s="71">
        <v>0</v>
      </c>
      <c r="BO25" s="71">
        <v>0</v>
      </c>
      <c r="BP25" s="73">
        <v>0.46987660592722241</v>
      </c>
      <c r="BQ25" s="73">
        <v>0.43615331414649045</v>
      </c>
      <c r="BR25" s="73">
        <v>3.5590653707089775E-2</v>
      </c>
      <c r="BS25" s="73">
        <v>4.8379582572136148E-2</v>
      </c>
      <c r="BT25" s="73">
        <v>9.9998436470613225E-3</v>
      </c>
      <c r="BU25" s="73">
        <v>1</v>
      </c>
      <c r="BV25" s="71"/>
      <c r="BW25" s="71">
        <v>2.1749264434128223E-3</v>
      </c>
      <c r="BX25" s="71">
        <v>3.3565355048165817E-3</v>
      </c>
      <c r="BY25" s="71">
        <v>7.5280214080901517E-4</v>
      </c>
      <c r="BZ25" s="71">
        <v>3.8422242755863643E-4</v>
      </c>
      <c r="CA25" s="74">
        <v>5.9880153241136519E-3</v>
      </c>
      <c r="CB25" s="52"/>
      <c r="CC25" s="52"/>
      <c r="CD25" s="52"/>
      <c r="CE25" s="66" t="s">
        <v>597</v>
      </c>
      <c r="CF25" s="75"/>
    </row>
    <row r="26" spans="1:84" x14ac:dyDescent="0.35">
      <c r="A26" s="69" t="str">
        <f t="shared" si="1"/>
        <v>K fertiliser as K kg K as K</v>
      </c>
      <c r="B26" s="70" t="s">
        <v>618</v>
      </c>
      <c r="C26" s="70">
        <v>1</v>
      </c>
      <c r="D26" s="70" t="s">
        <v>619</v>
      </c>
      <c r="E26" s="71">
        <v>5.632693505178934</v>
      </c>
      <c r="F26" s="71">
        <v>0.37500092614464486</v>
      </c>
      <c r="G26" s="71">
        <v>8.343925513315244E-6</v>
      </c>
      <c r="H26" s="71">
        <v>4.7537845576345059E-3</v>
      </c>
      <c r="I26" s="71"/>
      <c r="J26" s="71">
        <v>2.7496751766729324E-3</v>
      </c>
      <c r="K26" s="71"/>
      <c r="L26" s="71"/>
      <c r="M26" s="71"/>
      <c r="N26" s="71"/>
      <c r="O26" s="71">
        <v>7.9023672991066964E-8</v>
      </c>
      <c r="P26" s="71">
        <v>2.4948907146201611E-6</v>
      </c>
      <c r="Q26" s="71">
        <v>3.1298586862327186E-6</v>
      </c>
      <c r="R26" s="71">
        <v>0</v>
      </c>
      <c r="S26" s="71">
        <v>4.891243206473759E-9</v>
      </c>
      <c r="T26" s="71"/>
      <c r="U26" s="71"/>
      <c r="V26" s="71"/>
      <c r="W26" s="71"/>
      <c r="X26" s="71"/>
      <c r="Y26" s="71"/>
      <c r="Z26" s="71">
        <v>0</v>
      </c>
      <c r="AA26" s="71">
        <v>4.161452024991003E-14</v>
      </c>
      <c r="AB26" s="71">
        <v>1</v>
      </c>
      <c r="AC26" s="71">
        <v>1.3315247487402829E-6</v>
      </c>
      <c r="AD26" s="71">
        <v>2.3714325156633636E-10</v>
      </c>
      <c r="AE26" s="71">
        <v>1.0439209990096762E-6</v>
      </c>
      <c r="AF26" s="71">
        <v>0.31445266389061771</v>
      </c>
      <c r="AG26" s="71">
        <v>4.7679815908500225E-9</v>
      </c>
      <c r="AH26" s="71">
        <v>-3.6508498550446883E-4</v>
      </c>
      <c r="AI26" s="71">
        <v>8.270937595416603E-5</v>
      </c>
      <c r="AJ26" s="71">
        <v>0.61267004445286988</v>
      </c>
      <c r="AK26" s="71">
        <v>4.7144376201298908</v>
      </c>
      <c r="AL26" s="71">
        <v>0</v>
      </c>
      <c r="AM26" s="71">
        <v>0</v>
      </c>
      <c r="AN26" s="71">
        <v>0</v>
      </c>
      <c r="AO26" s="71">
        <v>0</v>
      </c>
      <c r="AP26" s="71">
        <v>0</v>
      </c>
      <c r="AQ26" s="71">
        <v>0.11175161814872141</v>
      </c>
      <c r="AR26" s="71">
        <v>9.4294077402189598E-3</v>
      </c>
      <c r="AS26" s="71">
        <v>0</v>
      </c>
      <c r="AT26" s="71">
        <v>0</v>
      </c>
      <c r="AU26" s="71">
        <v>2.6898176296522028E-2</v>
      </c>
      <c r="AV26" s="71">
        <v>0.13226551141562162</v>
      </c>
      <c r="AW26" s="71">
        <v>8.5293986850249848E-9</v>
      </c>
      <c r="AX26" s="71">
        <v>0</v>
      </c>
      <c r="AY26" s="71">
        <v>1.5158572448243648E-7</v>
      </c>
      <c r="AZ26" s="71">
        <v>0.3704405905085037</v>
      </c>
      <c r="BA26" s="71">
        <v>0</v>
      </c>
      <c r="BB26" s="71">
        <v>0</v>
      </c>
      <c r="BC26" s="71">
        <v>3.6884274126013745E-4</v>
      </c>
      <c r="BD26" s="71">
        <v>2.410757036018636E-8</v>
      </c>
      <c r="BE26" s="71">
        <v>2.179417846546586E-12</v>
      </c>
      <c r="BF26" s="71">
        <v>8.6346134961717062E-16</v>
      </c>
      <c r="BG26" s="71">
        <v>8836.3238441545163</v>
      </c>
      <c r="BH26" s="71">
        <v>348.37318652950705</v>
      </c>
      <c r="BI26" s="71">
        <v>0.40025036625277849</v>
      </c>
      <c r="BJ26" s="71">
        <v>0.38279558368632888</v>
      </c>
      <c r="BK26" s="71">
        <v>5.9031323312634272E-6</v>
      </c>
      <c r="BL26" s="71">
        <v>2.2704356495713549E-5</v>
      </c>
      <c r="BM26" s="71">
        <v>0</v>
      </c>
      <c r="BN26" s="71">
        <v>0</v>
      </c>
      <c r="BO26" s="71">
        <v>0</v>
      </c>
      <c r="BP26" s="73">
        <v>0.84074501256073342</v>
      </c>
      <c r="BQ26" s="73">
        <v>0.1092599639074069</v>
      </c>
      <c r="BR26" s="73">
        <v>2.1610709769092819E-2</v>
      </c>
      <c r="BS26" s="73">
        <v>2.3587451572519659E-2</v>
      </c>
      <c r="BT26" s="73">
        <v>4.7968621902472362E-3</v>
      </c>
      <c r="BU26" s="73">
        <v>1</v>
      </c>
      <c r="BV26" s="71">
        <v>1.9582477821853231E-5</v>
      </c>
      <c r="BW26" s="71">
        <v>8.9148095971516576E-5</v>
      </c>
      <c r="BX26" s="71">
        <v>7.6794815423615148E-4</v>
      </c>
      <c r="BY26" s="71">
        <v>1.8685073597387751E-4</v>
      </c>
      <c r="BZ26" s="71">
        <v>1.5585639986026131E-4</v>
      </c>
      <c r="CA26" s="74">
        <v>4.358087206128596E-3</v>
      </c>
      <c r="CB26" s="52"/>
      <c r="CC26" s="52"/>
      <c r="CD26" s="52"/>
      <c r="CE26" s="66" t="s">
        <v>597</v>
      </c>
      <c r="CF26" s="75"/>
    </row>
    <row r="27" spans="1:84" x14ac:dyDescent="0.35">
      <c r="A27" s="69" t="str">
        <f t="shared" si="1"/>
        <v>Rock K as K kg K as K</v>
      </c>
      <c r="B27" s="70" t="s">
        <v>620</v>
      </c>
      <c r="C27" s="70">
        <v>1</v>
      </c>
      <c r="D27" s="70" t="s">
        <v>619</v>
      </c>
      <c r="E27" s="71">
        <v>14.697381597731461</v>
      </c>
      <c r="F27" s="71">
        <v>0.90174208978800541</v>
      </c>
      <c r="G27" s="71">
        <v>3.7575013870431054E-5</v>
      </c>
      <c r="H27" s="71">
        <v>1.1760684461608881E-3</v>
      </c>
      <c r="I27" s="71"/>
      <c r="J27" s="71">
        <v>6.5409620260651353E-3</v>
      </c>
      <c r="K27" s="71"/>
      <c r="L27" s="71"/>
      <c r="M27" s="71"/>
      <c r="N27" s="71"/>
      <c r="O27" s="71">
        <v>2.4825527853389704E-7</v>
      </c>
      <c r="P27" s="71">
        <v>5.5960788215828601E-6</v>
      </c>
      <c r="Q27" s="71">
        <v>7.760134720505861E-6</v>
      </c>
      <c r="R27" s="71">
        <v>0</v>
      </c>
      <c r="S27" s="71">
        <v>2.9150738912252893E-8</v>
      </c>
      <c r="T27" s="71"/>
      <c r="U27" s="71"/>
      <c r="V27" s="71"/>
      <c r="W27" s="71"/>
      <c r="X27" s="71"/>
      <c r="Y27" s="71"/>
      <c r="Z27" s="71">
        <v>0</v>
      </c>
      <c r="AA27" s="71">
        <v>1.8371272778981892E-13</v>
      </c>
      <c r="AB27" s="71">
        <v>1.0000000000493043</v>
      </c>
      <c r="AC27" s="71">
        <v>6.0157112148386372E-6</v>
      </c>
      <c r="AD27" s="71">
        <v>5.2817498980151547E-10</v>
      </c>
      <c r="AE27" s="71">
        <v>3.2738237168663258E-6</v>
      </c>
      <c r="AF27" s="71">
        <v>1.5940217866493476</v>
      </c>
      <c r="AG27" s="71">
        <v>2.6392514433708283E-8</v>
      </c>
      <c r="AH27" s="71">
        <v>-8.3657255529942911E-4</v>
      </c>
      <c r="AI27" s="71">
        <v>3.611458137587301E-4</v>
      </c>
      <c r="AJ27" s="71">
        <v>2.2789690530270068</v>
      </c>
      <c r="AK27" s="71">
        <v>10.846111355743595</v>
      </c>
      <c r="AL27" s="71">
        <v>0</v>
      </c>
      <c r="AM27" s="71">
        <v>0</v>
      </c>
      <c r="AN27" s="71">
        <v>0</v>
      </c>
      <c r="AO27" s="71">
        <v>0</v>
      </c>
      <c r="AP27" s="71">
        <v>0</v>
      </c>
      <c r="AQ27" s="71">
        <v>0.63034455425065827</v>
      </c>
      <c r="AR27" s="71">
        <v>5.6463341754314188E-2</v>
      </c>
      <c r="AS27" s="71">
        <v>0</v>
      </c>
      <c r="AT27" s="71">
        <v>0</v>
      </c>
      <c r="AU27" s="71">
        <v>0.14454866249398884</v>
      </c>
      <c r="AV27" s="71">
        <v>0.74096163906699997</v>
      </c>
      <c r="AW27" s="71">
        <v>5.0675399894072135E-8</v>
      </c>
      <c r="AX27" s="71">
        <v>0</v>
      </c>
      <c r="AY27" s="71">
        <v>9.034177387384253E-7</v>
      </c>
      <c r="AZ27" s="71">
        <v>0.88537858390149049</v>
      </c>
      <c r="BA27" s="71">
        <v>0</v>
      </c>
      <c r="BB27" s="71">
        <v>0</v>
      </c>
      <c r="BC27" s="71">
        <v>9.3171975804999887E-4</v>
      </c>
      <c r="BD27" s="71">
        <v>5.3243497493890028E-8</v>
      </c>
      <c r="BE27" s="71">
        <v>9.91178788492672E-12</v>
      </c>
      <c r="BF27" s="71">
        <v>4.358277271474639E-15</v>
      </c>
      <c r="BG27" s="71">
        <v>48883.04026877963</v>
      </c>
      <c r="BH27" s="71">
        <v>1927.2605952275881</v>
      </c>
      <c r="BI27" s="71">
        <v>0.96840401792819741</v>
      </c>
      <c r="BJ27" s="71">
        <v>0.92447396142277571</v>
      </c>
      <c r="BK27" s="71">
        <v>3.5181376613083385E-5</v>
      </c>
      <c r="BL27" s="71">
        <v>1.3531299517089541E-4</v>
      </c>
      <c r="BM27" s="71">
        <v>0</v>
      </c>
      <c r="BN27" s="71">
        <v>0</v>
      </c>
      <c r="BO27" s="71">
        <v>0</v>
      </c>
      <c r="BP27" s="73">
        <v>0.73796129820330625</v>
      </c>
      <c r="BQ27" s="73">
        <v>0.15505934853290726</v>
      </c>
      <c r="BR27" s="73">
        <v>4.6729895160417402E-2</v>
      </c>
      <c r="BS27" s="73">
        <v>5.0414475303646275E-2</v>
      </c>
      <c r="BT27" s="73">
        <v>9.8349827997227229E-3</v>
      </c>
      <c r="BU27" s="73">
        <v>1</v>
      </c>
      <c r="BV27" s="71">
        <v>5.2935263474689905E-6</v>
      </c>
      <c r="BW27" s="71">
        <v>1.43602498006239E-4</v>
      </c>
      <c r="BX27" s="71">
        <v>6.1223700321031086E-3</v>
      </c>
      <c r="BY27" s="71">
        <v>1.3446188970163042E-3</v>
      </c>
      <c r="BZ27" s="71">
        <v>3.544317135639191E-4</v>
      </c>
      <c r="CA27" s="74">
        <v>1.3162537667110197E-2</v>
      </c>
      <c r="CB27" s="52"/>
      <c r="CC27" s="52"/>
      <c r="CD27" s="52"/>
      <c r="CE27" s="66" t="s">
        <v>597</v>
      </c>
      <c r="CF27" s="75"/>
    </row>
    <row r="28" spans="1:84" x14ac:dyDescent="0.35">
      <c r="A28" s="69" t="str">
        <f t="shared" si="1"/>
        <v>Gypsum as S (quarried) kg S as S</v>
      </c>
      <c r="B28" s="70" t="s">
        <v>621</v>
      </c>
      <c r="C28" s="70">
        <v>1</v>
      </c>
      <c r="D28" s="70" t="s">
        <v>622</v>
      </c>
      <c r="E28" s="71">
        <v>5.4527128607115927</v>
      </c>
      <c r="F28" s="71">
        <v>0.35240929767785367</v>
      </c>
      <c r="G28" s="71">
        <v>8.0759416263742921E-6</v>
      </c>
      <c r="H28" s="71">
        <v>4.3425221997960548E-4</v>
      </c>
      <c r="I28" s="71"/>
      <c r="J28" s="71">
        <v>2.8198105963373704E-3</v>
      </c>
      <c r="K28" s="71"/>
      <c r="L28" s="71"/>
      <c r="M28" s="71"/>
      <c r="N28" s="71"/>
      <c r="O28" s="71">
        <v>1.2438524766030203E-7</v>
      </c>
      <c r="P28" s="71">
        <v>2.1970861232260259E-6</v>
      </c>
      <c r="Q28" s="71">
        <v>3.1412161256925935E-6</v>
      </c>
      <c r="R28" s="71">
        <v>0</v>
      </c>
      <c r="S28" s="71">
        <v>3.3492781961280871E-8</v>
      </c>
      <c r="T28" s="71"/>
      <c r="U28" s="71"/>
      <c r="V28" s="71"/>
      <c r="W28" s="71"/>
      <c r="X28" s="71"/>
      <c r="Y28" s="71"/>
      <c r="Z28" s="71">
        <v>6.9903769798327577E-12</v>
      </c>
      <c r="AA28" s="71">
        <v>2.9668431675457108E-6</v>
      </c>
      <c r="AB28" s="71">
        <v>1.9468772105994536E-11</v>
      </c>
      <c r="AC28" s="71">
        <v>2.5729555850154002E-6</v>
      </c>
      <c r="AD28" s="71">
        <v>3.3811371380129229E-10</v>
      </c>
      <c r="AE28" s="71">
        <v>1.0000011617670728</v>
      </c>
      <c r="AF28" s="71">
        <v>0.40072695051989987</v>
      </c>
      <c r="AG28" s="71">
        <v>1.4692926670480772E-8</v>
      </c>
      <c r="AH28" s="71">
        <v>-3.0071709613544524E-4</v>
      </c>
      <c r="AI28" s="71">
        <v>1.5361467204045849E-4</v>
      </c>
      <c r="AJ28" s="71">
        <v>0.69358636807104679</v>
      </c>
      <c r="AK28" s="71">
        <v>4.1638661951483718</v>
      </c>
      <c r="AL28" s="71">
        <v>0</v>
      </c>
      <c r="AM28" s="71">
        <v>0</v>
      </c>
      <c r="AN28" s="71">
        <v>0</v>
      </c>
      <c r="AO28" s="71">
        <v>0</v>
      </c>
      <c r="AP28" s="71">
        <v>0</v>
      </c>
      <c r="AQ28" s="71">
        <v>0.2484117323732451</v>
      </c>
      <c r="AR28" s="71">
        <v>1.5950258226739678E-2</v>
      </c>
      <c r="AS28" s="71">
        <v>0</v>
      </c>
      <c r="AT28" s="71">
        <v>0</v>
      </c>
      <c r="AU28" s="71">
        <v>2.6078151669120041E-2</v>
      </c>
      <c r="AV28" s="71">
        <v>0.27450188469158676</v>
      </c>
      <c r="AW28" s="71">
        <v>5.5271703891969933E-8</v>
      </c>
      <c r="AX28" s="71">
        <v>1.2620659124446628E-6</v>
      </c>
      <c r="AY28" s="71">
        <v>9.7556942784732939E-7</v>
      </c>
      <c r="AZ28" s="71">
        <v>0.34564355855662976</v>
      </c>
      <c r="BA28" s="71">
        <v>3.5857353664535163E-5</v>
      </c>
      <c r="BB28" s="71">
        <v>2.6878898180029513E-6</v>
      </c>
      <c r="BC28" s="71">
        <v>4.1390478050352736E-4</v>
      </c>
      <c r="BD28" s="71">
        <v>2.0795590760004082E-8</v>
      </c>
      <c r="BE28" s="71">
        <v>4.5847473159727549E-12</v>
      </c>
      <c r="BF28" s="71">
        <v>5.6432290007034598E-14</v>
      </c>
      <c r="BG28" s="71">
        <v>21931.266155952995</v>
      </c>
      <c r="BH28" s="71">
        <v>864.6225635191953</v>
      </c>
      <c r="BI28" s="71">
        <v>0.38118581051614231</v>
      </c>
      <c r="BJ28" s="71">
        <v>0.36211511905638955</v>
      </c>
      <c r="BK28" s="71">
        <v>7.047603369540916E-6</v>
      </c>
      <c r="BL28" s="71">
        <v>1.1451914036005903E-4</v>
      </c>
      <c r="BM28" s="71">
        <v>0</v>
      </c>
      <c r="BN28" s="71">
        <v>0</v>
      </c>
      <c r="BO28" s="71">
        <v>0</v>
      </c>
      <c r="BP28" s="73">
        <v>0.76790173158719999</v>
      </c>
      <c r="BQ28" s="73">
        <v>0.12791145250239133</v>
      </c>
      <c r="BR28" s="73">
        <v>4.8753735310731738E-2</v>
      </c>
      <c r="BS28" s="73">
        <v>5.0623738299810622E-2</v>
      </c>
      <c r="BT28" s="73">
        <v>4.8093422998664193E-3</v>
      </c>
      <c r="BU28" s="73">
        <v>1</v>
      </c>
      <c r="BV28" s="71">
        <v>2.1348893639514469E-6</v>
      </c>
      <c r="BW28" s="71">
        <v>5.65805433198386E-5</v>
      </c>
      <c r="BX28" s="71">
        <v>2.4016116501946252E-3</v>
      </c>
      <c r="BY28" s="71">
        <v>5.2751253780215074E-4</v>
      </c>
      <c r="BZ28" s="71">
        <v>1.3610246781542808E-4</v>
      </c>
      <c r="CA28" s="74">
        <v>1.284937884435932E-2</v>
      </c>
      <c r="CB28" s="52"/>
      <c r="CC28" s="52"/>
      <c r="CD28" s="52"/>
      <c r="CE28" s="66" t="s">
        <v>597</v>
      </c>
      <c r="CF28" s="75"/>
    </row>
    <row r="29" spans="1:84" x14ac:dyDescent="0.35">
      <c r="A29" s="69" t="str">
        <f t="shared" si="1"/>
        <v>Gypsum as S from FDG kg S as S</v>
      </c>
      <c r="B29" s="70" t="s">
        <v>623</v>
      </c>
      <c r="C29" s="70">
        <v>1</v>
      </c>
      <c r="D29" s="70" t="s">
        <v>622</v>
      </c>
      <c r="E29" s="71">
        <v>1.9383296282144611</v>
      </c>
      <c r="F29" s="71">
        <v>0.11768003816286741</v>
      </c>
      <c r="G29" s="71">
        <v>7.5318042491431978E-6</v>
      </c>
      <c r="H29" s="71">
        <v>1.7900866099083244E-4</v>
      </c>
      <c r="I29" s="71"/>
      <c r="J29" s="71">
        <v>1.255827840220646E-3</v>
      </c>
      <c r="K29" s="71"/>
      <c r="L29" s="71"/>
      <c r="M29" s="71"/>
      <c r="N29" s="71"/>
      <c r="O29" s="71">
        <v>5.5252914916877899E-8</v>
      </c>
      <c r="P29" s="71">
        <v>7.3573471743921384E-7</v>
      </c>
      <c r="Q29" s="71">
        <v>9.0914388090365778E-7</v>
      </c>
      <c r="R29" s="71">
        <v>0</v>
      </c>
      <c r="S29" s="71">
        <v>3.3492781961280871E-8</v>
      </c>
      <c r="T29" s="71"/>
      <c r="U29" s="71"/>
      <c r="V29" s="71"/>
      <c r="W29" s="71"/>
      <c r="X29" s="71"/>
      <c r="Y29" s="71"/>
      <c r="Z29" s="71">
        <v>6.9903769798327577E-12</v>
      </c>
      <c r="AA29" s="71">
        <v>2.9668431057896677E-6</v>
      </c>
      <c r="AB29" s="71">
        <v>6.3399152601845211E-12</v>
      </c>
      <c r="AC29" s="71">
        <v>5.4916118760491567E-7</v>
      </c>
      <c r="AD29" s="71">
        <v>2.0341525474891642E-10</v>
      </c>
      <c r="AE29" s="71">
        <v>1.0000005794610041</v>
      </c>
      <c r="AF29" s="71">
        <v>6.6367253422416714E-2</v>
      </c>
      <c r="AG29" s="71">
        <v>4.62557336284386E-9</v>
      </c>
      <c r="AH29" s="71">
        <v>-9.7638831634201651E-5</v>
      </c>
      <c r="AI29" s="71">
        <v>6.1482226285559144E-5</v>
      </c>
      <c r="AJ29" s="71">
        <v>0.26244799215816544</v>
      </c>
      <c r="AK29" s="71">
        <v>1.5797799474928269</v>
      </c>
      <c r="AL29" s="71">
        <v>0</v>
      </c>
      <c r="AM29" s="71">
        <v>0</v>
      </c>
      <c r="AN29" s="71">
        <v>0</v>
      </c>
      <c r="AO29" s="71">
        <v>0</v>
      </c>
      <c r="AP29" s="71">
        <v>0</v>
      </c>
      <c r="AQ29" s="71">
        <v>2.3332022432508207E-2</v>
      </c>
      <c r="AR29" s="71">
        <v>1.2526514104079685E-2</v>
      </c>
      <c r="AS29" s="71">
        <v>0</v>
      </c>
      <c r="AT29" s="71">
        <v>0</v>
      </c>
      <c r="AU29" s="71">
        <v>1.1243899958892571E-2</v>
      </c>
      <c r="AV29" s="71">
        <v>4.0882583948425796E-2</v>
      </c>
      <c r="AW29" s="71">
        <v>5.5232545979311793E-8</v>
      </c>
      <c r="AX29" s="71">
        <v>1.2620659124446628E-6</v>
      </c>
      <c r="AY29" s="71">
        <v>9.7556942784732939E-7</v>
      </c>
      <c r="AZ29" s="71">
        <v>0.11543396010575414</v>
      </c>
      <c r="BA29" s="71">
        <v>3.5857353664535163E-5</v>
      </c>
      <c r="BB29" s="71">
        <v>2.6878898180029513E-6</v>
      </c>
      <c r="BC29" s="71">
        <v>1.405524855569048E-4</v>
      </c>
      <c r="BD29" s="71">
        <v>7.118807189904209E-9</v>
      </c>
      <c r="BE29" s="71">
        <v>6.5269514319296086E-13</v>
      </c>
      <c r="BF29" s="71">
        <v>5.4800058328729541E-14</v>
      </c>
      <c r="BG29" s="71">
        <v>3267.7218357988704</v>
      </c>
      <c r="BH29" s="71">
        <v>128.78860131150199</v>
      </c>
      <c r="BI29" s="71">
        <v>0.12748031841049196</v>
      </c>
      <c r="BJ29" s="71">
        <v>0.12094212775834252</v>
      </c>
      <c r="BK29" s="71">
        <v>7.047603369540916E-6</v>
      </c>
      <c r="BL29" s="71">
        <v>1.1451914036005903E-4</v>
      </c>
      <c r="BM29" s="71">
        <v>0</v>
      </c>
      <c r="BN29" s="71">
        <v>0</v>
      </c>
      <c r="BO29" s="71">
        <v>0</v>
      </c>
      <c r="BP29" s="73">
        <v>0.81844852363604337</v>
      </c>
      <c r="BQ29" s="73">
        <v>0.13596841259695108</v>
      </c>
      <c r="BR29" s="73">
        <v>1.8577502730488825E-2</v>
      </c>
      <c r="BS29" s="73">
        <v>2.1180348901198864E-2</v>
      </c>
      <c r="BT29" s="73">
        <v>5.8252121353178383E-3</v>
      </c>
      <c r="BU29" s="73">
        <v>1</v>
      </c>
      <c r="BV29" s="71">
        <v>6.2937647091403838E-7</v>
      </c>
      <c r="BW29" s="71">
        <v>1.8607737606401562E-5</v>
      </c>
      <c r="BX29" s="71">
        <v>8.0556819569487176E-4</v>
      </c>
      <c r="BY29" s="71">
        <v>1.7685172600882191E-4</v>
      </c>
      <c r="BZ29" s="71">
        <v>5.0003008143586224E-5</v>
      </c>
      <c r="CA29" s="74">
        <v>1.2969975401314286E-2</v>
      </c>
      <c r="CB29" s="52"/>
      <c r="CC29" s="52"/>
      <c r="CD29" s="52"/>
      <c r="CE29" s="66" t="s">
        <v>597</v>
      </c>
      <c r="CF29" s="75"/>
    </row>
    <row r="30" spans="1:84" x14ac:dyDescent="0.35">
      <c r="A30" s="69" t="str">
        <f t="shared" si="1"/>
        <v>Gypsum as S (Mixed) kg S as S</v>
      </c>
      <c r="B30" s="70" t="s">
        <v>624</v>
      </c>
      <c r="C30" s="70">
        <v>1</v>
      </c>
      <c r="D30" s="70" t="s">
        <v>622</v>
      </c>
      <c r="E30" s="71">
        <v>3.695521244463027</v>
      </c>
      <c r="F30" s="71">
        <v>0.23504466792036055</v>
      </c>
      <c r="G30" s="71">
        <v>7.8038729377587445E-6</v>
      </c>
      <c r="H30" s="71">
        <v>3.0663044048521895E-4</v>
      </c>
      <c r="I30" s="71"/>
      <c r="J30" s="71">
        <v>2.0378192182790083E-3</v>
      </c>
      <c r="K30" s="71"/>
      <c r="L30" s="71"/>
      <c r="M30" s="71"/>
      <c r="N30" s="71"/>
      <c r="O30" s="71">
        <v>8.9819081288589969E-8</v>
      </c>
      <c r="P30" s="71">
        <v>1.4664104203326198E-6</v>
      </c>
      <c r="Q30" s="71">
        <v>2.0251800032981256E-6</v>
      </c>
      <c r="R30" s="71">
        <v>0</v>
      </c>
      <c r="S30" s="71">
        <v>3.3492781961280871E-8</v>
      </c>
      <c r="T30" s="71"/>
      <c r="U30" s="71"/>
      <c r="V30" s="71"/>
      <c r="W30" s="71"/>
      <c r="X30" s="71"/>
      <c r="Y30" s="71"/>
      <c r="Z30" s="71">
        <v>6.9903769798327577E-12</v>
      </c>
      <c r="AA30" s="71">
        <v>2.9668431366676893E-6</v>
      </c>
      <c r="AB30" s="71">
        <v>1.2904343683089529E-11</v>
      </c>
      <c r="AC30" s="71">
        <v>1.5610583863101578E-6</v>
      </c>
      <c r="AD30" s="71">
        <v>2.7076448427510433E-10</v>
      </c>
      <c r="AE30" s="71">
        <v>1.0000008706140384</v>
      </c>
      <c r="AF30" s="71">
        <v>0.2335471019711583</v>
      </c>
      <c r="AG30" s="71">
        <v>9.6592500166623169E-9</v>
      </c>
      <c r="AH30" s="71">
        <v>-1.9917796388482345E-4</v>
      </c>
      <c r="AI30" s="71">
        <v>1.0754844916300882E-4</v>
      </c>
      <c r="AJ30" s="71">
        <v>0.47801718011460614</v>
      </c>
      <c r="AK30" s="71">
        <v>2.8718230713205992</v>
      </c>
      <c r="AL30" s="71">
        <v>0</v>
      </c>
      <c r="AM30" s="71">
        <v>0</v>
      </c>
      <c r="AN30" s="71">
        <v>0</v>
      </c>
      <c r="AO30" s="71">
        <v>0</v>
      </c>
      <c r="AP30" s="71">
        <v>0</v>
      </c>
      <c r="AQ30" s="71">
        <v>0.13587187740287665</v>
      </c>
      <c r="AR30" s="71">
        <v>1.4238386165409681E-2</v>
      </c>
      <c r="AS30" s="71">
        <v>0</v>
      </c>
      <c r="AT30" s="71">
        <v>0</v>
      </c>
      <c r="AU30" s="71">
        <v>1.8661025814006305E-2</v>
      </c>
      <c r="AV30" s="71">
        <v>0.15769223432000629</v>
      </c>
      <c r="AW30" s="71">
        <v>5.5252124935640863E-8</v>
      </c>
      <c r="AX30" s="71">
        <v>1.2620659124446628E-6</v>
      </c>
      <c r="AY30" s="71">
        <v>9.7556942784732939E-7</v>
      </c>
      <c r="AZ30" s="71">
        <v>0.23053875933119194</v>
      </c>
      <c r="BA30" s="71">
        <v>3.5857353664535163E-5</v>
      </c>
      <c r="BB30" s="71">
        <v>2.6878898180029513E-6</v>
      </c>
      <c r="BC30" s="71">
        <v>2.7722863303021605E-4</v>
      </c>
      <c r="BD30" s="71">
        <v>1.3957198974954145E-8</v>
      </c>
      <c r="BE30" s="71">
        <v>2.6187212295828579E-12</v>
      </c>
      <c r="BF30" s="71">
        <v>5.5616174167882072E-14</v>
      </c>
      <c r="BG30" s="71">
        <v>12599.493995875933</v>
      </c>
      <c r="BH30" s="71">
        <v>496.70558241534866</v>
      </c>
      <c r="BI30" s="71">
        <v>0.25433306446331716</v>
      </c>
      <c r="BJ30" s="71">
        <v>0.24152862340736603</v>
      </c>
      <c r="BK30" s="71">
        <v>7.047603369540916E-6</v>
      </c>
      <c r="BL30" s="71">
        <v>1.1451914036005903E-4</v>
      </c>
      <c r="BM30" s="71">
        <v>0</v>
      </c>
      <c r="BN30" s="71">
        <v>0</v>
      </c>
      <c r="BO30" s="71">
        <v>0</v>
      </c>
      <c r="BP30" s="73">
        <v>0.7811713196125053</v>
      </c>
      <c r="BQ30" s="73">
        <v>0.13002657270799853</v>
      </c>
      <c r="BR30" s="73">
        <v>4.0831844360487257E-2</v>
      </c>
      <c r="BS30" s="73">
        <v>4.2894233982094729E-2</v>
      </c>
      <c r="BT30" s="73">
        <v>5.0760293369141755E-3</v>
      </c>
      <c r="BU30" s="73">
        <v>1</v>
      </c>
      <c r="BV30" s="71">
        <v>1.3821329174327425E-6</v>
      </c>
      <c r="BW30" s="71">
        <v>3.7594140463120078E-5</v>
      </c>
      <c r="BX30" s="71">
        <v>1.6035899229447485E-3</v>
      </c>
      <c r="BY30" s="71">
        <v>3.5218213190548635E-4</v>
      </c>
      <c r="BZ30" s="71">
        <v>9.3052737979507151E-5</v>
      </c>
      <c r="CA30" s="74">
        <v>1.2879572375860215E-2</v>
      </c>
      <c r="CB30" s="52"/>
      <c r="CC30" s="52"/>
      <c r="CD30" s="52"/>
      <c r="CE30" s="66" t="s">
        <v>597</v>
      </c>
      <c r="CF30" s="75"/>
    </row>
    <row r="31" spans="1:84" x14ac:dyDescent="0.35">
      <c r="A31" s="69" t="str">
        <f t="shared" si="1"/>
        <v>Limestone as rock kg product</v>
      </c>
      <c r="B31" s="70" t="s">
        <v>625</v>
      </c>
      <c r="C31" s="70">
        <v>1</v>
      </c>
      <c r="D31" s="70" t="s">
        <v>626</v>
      </c>
      <c r="E31" s="71">
        <v>0.89868920833333354</v>
      </c>
      <c r="F31" s="71">
        <v>6.0503830676174535E-2</v>
      </c>
      <c r="G31" s="71">
        <v>1.2656402107284459E-7</v>
      </c>
      <c r="H31" s="71">
        <v>5.7247327938757675E-5</v>
      </c>
      <c r="I31" s="71">
        <v>0</v>
      </c>
      <c r="J31" s="71">
        <v>4.0034819380058135E-4</v>
      </c>
      <c r="K31" s="71">
        <v>0</v>
      </c>
      <c r="L31" s="71">
        <v>0</v>
      </c>
      <c r="M31" s="71">
        <v>0</v>
      </c>
      <c r="N31" s="71">
        <v>0</v>
      </c>
      <c r="O31" s="71">
        <v>1.6313032220898833E-8</v>
      </c>
      <c r="P31" s="71">
        <v>3.8894822406775206E-7</v>
      </c>
      <c r="Q31" s="71">
        <v>5.5619805162229551E-7</v>
      </c>
      <c r="R31" s="71">
        <v>0</v>
      </c>
      <c r="S31" s="71">
        <v>0</v>
      </c>
      <c r="T31" s="71"/>
      <c r="U31" s="71"/>
      <c r="V31" s="71"/>
      <c r="W31" s="71"/>
      <c r="X31" s="71"/>
      <c r="Y31" s="71"/>
      <c r="Z31" s="71">
        <v>0</v>
      </c>
      <c r="AA31" s="71">
        <v>1.3904218683840824E-14</v>
      </c>
      <c r="AB31" s="71">
        <v>3.4477363842758616E-12</v>
      </c>
      <c r="AC31" s="71">
        <v>4.5542668980187397E-7</v>
      </c>
      <c r="AD31" s="71">
        <v>3.6444257853486689E-11</v>
      </c>
      <c r="AE31" s="71">
        <v>1.501773362478608E-7</v>
      </c>
      <c r="AF31" s="71">
        <v>7.0898073274964848E-2</v>
      </c>
      <c r="AG31" s="71">
        <v>2.0947278528641327E-9</v>
      </c>
      <c r="AH31" s="71">
        <v>-5.4366011661757281E-5</v>
      </c>
      <c r="AI31" s="71">
        <v>2.4850857020272279E-5</v>
      </c>
      <c r="AJ31" s="71">
        <v>9.7102438756832582E-2</v>
      </c>
      <c r="AK31" s="71">
        <v>0.69733753090040418</v>
      </c>
      <c r="AL31" s="71">
        <v>0</v>
      </c>
      <c r="AM31" s="71">
        <v>0</v>
      </c>
      <c r="AN31" s="71">
        <v>0</v>
      </c>
      <c r="AO31" s="71">
        <v>0</v>
      </c>
      <c r="AP31" s="71">
        <v>0</v>
      </c>
      <c r="AQ31" s="71">
        <v>4.2857380828815968E-2</v>
      </c>
      <c r="AR31" s="71">
        <v>2.792880677261478E-3</v>
      </c>
      <c r="AS31" s="71">
        <v>0</v>
      </c>
      <c r="AT31" s="71">
        <v>0</v>
      </c>
      <c r="AU31" s="71">
        <v>3.9826300660732623E-3</v>
      </c>
      <c r="AV31" s="71">
        <v>4.8611701356968282E-2</v>
      </c>
      <c r="AW31" s="71">
        <v>9.6777289341775212E-12</v>
      </c>
      <c r="AX31" s="71">
        <v>0</v>
      </c>
      <c r="AY31" s="71">
        <v>0</v>
      </c>
      <c r="AZ31" s="71">
        <v>5.9348872521396194E-2</v>
      </c>
      <c r="BA31" s="71">
        <v>0</v>
      </c>
      <c r="BB31" s="71">
        <v>0</v>
      </c>
      <c r="BC31" s="71">
        <v>6.7233542749448708E-5</v>
      </c>
      <c r="BD31" s="71">
        <v>3.6819184856348696E-9</v>
      </c>
      <c r="BE31" s="71">
        <v>7.9961561788960027E-13</v>
      </c>
      <c r="BF31" s="71">
        <v>3.43627664137749E-16</v>
      </c>
      <c r="BG31" s="71">
        <v>3883.5232787802479</v>
      </c>
      <c r="BH31" s="71">
        <v>153.11210280218808</v>
      </c>
      <c r="BI31" s="71">
        <v>6.5266284887102122E-2</v>
      </c>
      <c r="BJ31" s="71">
        <v>6.2125581121429511E-2</v>
      </c>
      <c r="BK31" s="71">
        <v>0</v>
      </c>
      <c r="BL31" s="71">
        <v>0</v>
      </c>
      <c r="BM31" s="71">
        <v>0</v>
      </c>
      <c r="BN31" s="71">
        <v>0</v>
      </c>
      <c r="BO31" s="71">
        <v>0</v>
      </c>
      <c r="BP31" s="73">
        <v>0.78116902669406907</v>
      </c>
      <c r="BQ31" s="73">
        <v>0.1087757566631373</v>
      </c>
      <c r="BR31" s="73">
        <v>5.1138177380166558E-2</v>
      </c>
      <c r="BS31" s="73">
        <v>5.4455631243500675E-2</v>
      </c>
      <c r="BT31" s="73">
        <v>4.461408019126571E-3</v>
      </c>
      <c r="BU31" s="73">
        <v>1.0000000000000002</v>
      </c>
      <c r="BV31" s="71">
        <v>3.7806882203077452E-7</v>
      </c>
      <c r="BW31" s="71">
        <v>1.0019881931117761E-5</v>
      </c>
      <c r="BX31" s="71">
        <v>4.2530282969038965E-4</v>
      </c>
      <c r="BY31" s="71">
        <v>9.3417507783255443E-5</v>
      </c>
      <c r="BZ31" s="71">
        <v>2.4102466643620674E-5</v>
      </c>
      <c r="CA31" s="74">
        <v>1.3447124587469996E-2</v>
      </c>
      <c r="CB31" s="52"/>
      <c r="CC31" s="52"/>
      <c r="CD31" s="52"/>
      <c r="CE31" s="66" t="s">
        <v>597</v>
      </c>
      <c r="CF31" s="75"/>
    </row>
    <row r="32" spans="1:84" x14ac:dyDescent="0.35">
      <c r="A32" s="69" t="str">
        <f t="shared" si="1"/>
        <v>Limestone as CaO kg CaO</v>
      </c>
      <c r="B32" s="70" t="s">
        <v>627</v>
      </c>
      <c r="C32" s="70">
        <v>1</v>
      </c>
      <c r="D32" s="70" t="s">
        <v>628</v>
      </c>
      <c r="E32" s="71">
        <v>1.6339803787878791</v>
      </c>
      <c r="F32" s="71">
        <v>0.11000696486577187</v>
      </c>
      <c r="G32" s="71">
        <v>2.301164019506265E-7</v>
      </c>
      <c r="H32" s="71">
        <v>1.0408605079774122E-4</v>
      </c>
      <c r="I32" s="71">
        <v>0</v>
      </c>
      <c r="J32" s="71">
        <v>7.2790580691014779E-4</v>
      </c>
      <c r="K32" s="71">
        <v>0</v>
      </c>
      <c r="L32" s="71">
        <v>0</v>
      </c>
      <c r="M32" s="71">
        <v>0</v>
      </c>
      <c r="N32" s="71">
        <v>0</v>
      </c>
      <c r="O32" s="71">
        <v>2.9660058583452422E-8</v>
      </c>
      <c r="P32" s="71">
        <v>7.0717858921409459E-7</v>
      </c>
      <c r="Q32" s="71">
        <v>1.0112691847678099E-6</v>
      </c>
      <c r="R32" s="71">
        <v>0</v>
      </c>
      <c r="S32" s="71">
        <v>0</v>
      </c>
      <c r="T32" s="71"/>
      <c r="U32" s="71"/>
      <c r="V32" s="71"/>
      <c r="W32" s="71"/>
      <c r="X32" s="71"/>
      <c r="Y32" s="71"/>
      <c r="Z32" s="71">
        <v>0</v>
      </c>
      <c r="AA32" s="71">
        <v>2.5280397606983314E-14</v>
      </c>
      <c r="AB32" s="71">
        <v>6.2686116077742929E-12</v>
      </c>
      <c r="AC32" s="71">
        <v>8.2804852691249801E-7</v>
      </c>
      <c r="AD32" s="71">
        <v>6.6262287006339429E-11</v>
      </c>
      <c r="AE32" s="71">
        <v>2.7304970226883778E-7</v>
      </c>
      <c r="AF32" s="71">
        <v>0.12890558777266334</v>
      </c>
      <c r="AG32" s="71">
        <v>3.8085960961166044E-9</v>
      </c>
      <c r="AH32" s="71">
        <v>-9.8847293930467772E-5</v>
      </c>
      <c r="AI32" s="71">
        <v>4.5183376400495046E-5</v>
      </c>
      <c r="AJ32" s="71">
        <v>0.17654988864878648</v>
      </c>
      <c r="AK32" s="71">
        <v>1.2678864198189166</v>
      </c>
      <c r="AL32" s="71">
        <v>0</v>
      </c>
      <c r="AM32" s="71">
        <v>0</v>
      </c>
      <c r="AN32" s="71">
        <v>0</v>
      </c>
      <c r="AO32" s="71">
        <v>0</v>
      </c>
      <c r="AP32" s="71">
        <v>0</v>
      </c>
      <c r="AQ32" s="71">
        <v>7.7922510597847203E-2</v>
      </c>
      <c r="AR32" s="71">
        <v>5.0779648677481415E-3</v>
      </c>
      <c r="AS32" s="71">
        <v>0</v>
      </c>
      <c r="AT32" s="71">
        <v>0</v>
      </c>
      <c r="AU32" s="71">
        <v>7.241145574678658E-3</v>
      </c>
      <c r="AV32" s="71">
        <v>8.8384911558124141E-2</v>
      </c>
      <c r="AW32" s="71">
        <v>1.7595870789413675E-11</v>
      </c>
      <c r="AX32" s="71">
        <v>0</v>
      </c>
      <c r="AY32" s="71">
        <v>0</v>
      </c>
      <c r="AZ32" s="71">
        <v>0.10790704094799307</v>
      </c>
      <c r="BA32" s="71">
        <v>0</v>
      </c>
      <c r="BB32" s="71">
        <v>0</v>
      </c>
      <c r="BC32" s="71">
        <v>1.2224280499899764E-4</v>
      </c>
      <c r="BD32" s="71">
        <v>6.6943972466088535E-9</v>
      </c>
      <c r="BE32" s="71">
        <v>1.4538465779810912E-12</v>
      </c>
      <c r="BF32" s="71">
        <v>6.247775711595436E-16</v>
      </c>
      <c r="BG32" s="71">
        <v>7060.9514159640867</v>
      </c>
      <c r="BH32" s="71">
        <v>278.38564145852376</v>
      </c>
      <c r="BI32" s="71">
        <v>0.11866597252200385</v>
      </c>
      <c r="BJ32" s="71">
        <v>0.11295560203896274</v>
      </c>
      <c r="BK32" s="71">
        <v>0</v>
      </c>
      <c r="BL32" s="71">
        <v>0</v>
      </c>
      <c r="BM32" s="71">
        <v>0</v>
      </c>
      <c r="BN32" s="71">
        <v>0</v>
      </c>
      <c r="BO32" s="71">
        <v>0</v>
      </c>
      <c r="BP32" s="73">
        <v>0.78116902669406907</v>
      </c>
      <c r="BQ32" s="73">
        <v>0.1087757566631373</v>
      </c>
      <c r="BR32" s="73">
        <v>5.1138177380166551E-2</v>
      </c>
      <c r="BS32" s="73">
        <v>5.4455631243500675E-2</v>
      </c>
      <c r="BT32" s="73">
        <v>4.461408019126571E-3</v>
      </c>
      <c r="BU32" s="73">
        <v>1.0000000000000002</v>
      </c>
      <c r="BV32" s="71">
        <v>6.8739785823777182E-7</v>
      </c>
      <c r="BW32" s="71">
        <v>1.8217967147486838E-5</v>
      </c>
      <c r="BX32" s="71">
        <v>7.7327787216434471E-4</v>
      </c>
      <c r="BY32" s="71">
        <v>1.6985001415137352E-4</v>
      </c>
      <c r="BZ32" s="71">
        <v>4.3822666624764858E-5</v>
      </c>
      <c r="CA32" s="74">
        <v>1.3447124587469942E-2</v>
      </c>
      <c r="CB32" s="52"/>
      <c r="CC32" s="52"/>
      <c r="CD32" s="52"/>
      <c r="CE32" s="66" t="s">
        <v>597</v>
      </c>
      <c r="CF32" s="75"/>
    </row>
    <row r="33" spans="1:84" x14ac:dyDescent="0.35">
      <c r="A33" s="69" t="str">
        <f t="shared" si="1"/>
        <v>Limestone as Ca kg Ca</v>
      </c>
      <c r="B33" s="70" t="s">
        <v>629</v>
      </c>
      <c r="C33" s="70">
        <v>1</v>
      </c>
      <c r="D33" s="70" t="s">
        <v>630</v>
      </c>
      <c r="E33" s="71">
        <v>2.2859426246882797</v>
      </c>
      <c r="F33" s="71">
        <v>0.15390001817879806</v>
      </c>
      <c r="G33" s="71">
        <v>3.2193342018529046E-7</v>
      </c>
      <c r="H33" s="71">
        <v>1.4561664463225144E-4</v>
      </c>
      <c r="I33" s="71">
        <v>0</v>
      </c>
      <c r="J33" s="71">
        <v>1.018342039093748E-3</v>
      </c>
      <c r="K33" s="71">
        <v>0</v>
      </c>
      <c r="L33" s="71">
        <v>0</v>
      </c>
      <c r="M33" s="71">
        <v>0</v>
      </c>
      <c r="N33" s="71">
        <v>0</v>
      </c>
      <c r="O33" s="71">
        <v>4.1494495923483312E-8</v>
      </c>
      <c r="P33" s="71">
        <v>9.8934460984814715E-7</v>
      </c>
      <c r="Q33" s="71">
        <v>1.4147681113584574E-6</v>
      </c>
      <c r="R33" s="71">
        <v>0</v>
      </c>
      <c r="S33" s="71">
        <v>0</v>
      </c>
      <c r="T33" s="71"/>
      <c r="U33" s="71"/>
      <c r="V33" s="71"/>
      <c r="W33" s="71"/>
      <c r="X33" s="71"/>
      <c r="Y33" s="71"/>
      <c r="Z33" s="71">
        <v>0</v>
      </c>
      <c r="AA33" s="71">
        <v>3.5367339295555212E-14</v>
      </c>
      <c r="AB33" s="71">
        <v>8.7698032717241365E-12</v>
      </c>
      <c r="AC33" s="71">
        <v>1.1584419541095048E-6</v>
      </c>
      <c r="AD33" s="71">
        <v>9.2701104764479848E-11</v>
      </c>
      <c r="AE33" s="71">
        <v>3.8199721439605488E-7</v>
      </c>
      <c r="AF33" s="71">
        <v>0.18033923875427466</v>
      </c>
      <c r="AG33" s="71">
        <v>5.3282354362130056E-9</v>
      </c>
      <c r="AH33" s="71">
        <v>-1.382876107107043E-4</v>
      </c>
      <c r="AI33" s="71">
        <v>6.3211656261041686E-5</v>
      </c>
      <c r="AJ33" s="71">
        <v>0.24699373449368883</v>
      </c>
      <c r="AK33" s="71">
        <v>1.773776263138185</v>
      </c>
      <c r="AL33" s="71">
        <v>0</v>
      </c>
      <c r="AM33" s="71">
        <v>0</v>
      </c>
      <c r="AN33" s="71">
        <v>0</v>
      </c>
      <c r="AO33" s="71">
        <v>0</v>
      </c>
      <c r="AP33" s="71">
        <v>0</v>
      </c>
      <c r="AQ33" s="71">
        <v>0.10901378664686355</v>
      </c>
      <c r="AR33" s="71">
        <v>7.1040855132336852E-3</v>
      </c>
      <c r="AS33" s="71">
        <v>0</v>
      </c>
      <c r="AT33" s="71">
        <v>0</v>
      </c>
      <c r="AU33" s="71">
        <v>1.013038071669508E-2</v>
      </c>
      <c r="AV33" s="71">
        <v>0.12365071168106644</v>
      </c>
      <c r="AW33" s="71">
        <v>2.4616667114366764E-11</v>
      </c>
      <c r="AX33" s="71">
        <v>0</v>
      </c>
      <c r="AY33" s="71">
        <v>0</v>
      </c>
      <c r="AZ33" s="71">
        <v>0.15096221938110752</v>
      </c>
      <c r="BA33" s="71">
        <v>0</v>
      </c>
      <c r="BB33" s="71">
        <v>0</v>
      </c>
      <c r="BC33" s="71">
        <v>1.7101798903849794E-4</v>
      </c>
      <c r="BD33" s="71">
        <v>9.3654784422632583E-9</v>
      </c>
      <c r="BE33" s="71">
        <v>2.0339349881481102E-12</v>
      </c>
      <c r="BF33" s="71">
        <v>8.7406538010100749E-16</v>
      </c>
      <c r="BG33" s="71">
        <v>9878.2886392914024</v>
      </c>
      <c r="BH33" s="71">
        <v>389.46220662900703</v>
      </c>
      <c r="BI33" s="71">
        <v>0.16601399148340187</v>
      </c>
      <c r="BJ33" s="71">
        <v>0.15802516893730198</v>
      </c>
      <c r="BK33" s="71">
        <v>0</v>
      </c>
      <c r="BL33" s="71">
        <v>0</v>
      </c>
      <c r="BM33" s="71">
        <v>0</v>
      </c>
      <c r="BN33" s="71">
        <v>0</v>
      </c>
      <c r="BO33" s="71">
        <v>0</v>
      </c>
      <c r="BP33" s="73">
        <v>0.78116902669406862</v>
      </c>
      <c r="BQ33" s="73">
        <v>0.10877575666313725</v>
      </c>
      <c r="BR33" s="73">
        <v>5.113817738016653E-2</v>
      </c>
      <c r="BS33" s="73">
        <v>5.4455631243500648E-2</v>
      </c>
      <c r="BT33" s="73">
        <v>4.4614080191265684E-3</v>
      </c>
      <c r="BU33" s="73">
        <v>0.99999999999999956</v>
      </c>
      <c r="BV33" s="71">
        <v>9.6167131788376545E-7</v>
      </c>
      <c r="BW33" s="71">
        <v>2.5486981470673603E-5</v>
      </c>
      <c r="BX33" s="71">
        <v>1.0818176715316644E-3</v>
      </c>
      <c r="BY33" s="71">
        <v>2.3762059336389165E-4</v>
      </c>
      <c r="BZ33" s="71">
        <v>6.1308019891503947E-5</v>
      </c>
      <c r="CA33" s="74">
        <v>1.3447124587469824E-2</v>
      </c>
      <c r="CB33" s="52"/>
      <c r="CC33" s="52"/>
      <c r="CD33" s="52"/>
      <c r="CE33" s="66" t="s">
        <v>597</v>
      </c>
      <c r="CF33" s="75"/>
    </row>
    <row r="34" spans="1:84" x14ac:dyDescent="0.35">
      <c r="A34" s="69" t="str">
        <f t="shared" si="1"/>
        <v>Total for Burnt Lime (or chalk) as 98% CaO product kg product</v>
      </c>
      <c r="B34" s="70" t="s">
        <v>631</v>
      </c>
      <c r="C34" s="70">
        <v>1</v>
      </c>
      <c r="D34" s="70" t="s">
        <v>626</v>
      </c>
      <c r="E34" s="71">
        <v>5.9802455589981935</v>
      </c>
      <c r="F34" s="71">
        <v>1.1383440485876781</v>
      </c>
      <c r="G34" s="71">
        <v>4.8355580036200647E-6</v>
      </c>
      <c r="H34" s="71">
        <v>4.4364018845496862E-4</v>
      </c>
      <c r="I34" s="71"/>
      <c r="J34" s="71">
        <v>2.988227970142694E-3</v>
      </c>
      <c r="K34" s="71"/>
      <c r="L34" s="71"/>
      <c r="M34" s="71"/>
      <c r="N34" s="71"/>
      <c r="O34" s="71">
        <v>8.8671547480515676E-8</v>
      </c>
      <c r="P34" s="71">
        <v>7.1778119781516906E-7</v>
      </c>
      <c r="Q34" s="71">
        <v>1.8158760050358561E-6</v>
      </c>
      <c r="R34" s="71">
        <v>0</v>
      </c>
      <c r="S34" s="71">
        <v>2.591583059439666E-8</v>
      </c>
      <c r="T34" s="71"/>
      <c r="U34" s="71"/>
      <c r="V34" s="71"/>
      <c r="W34" s="71"/>
      <c r="X34" s="71"/>
      <c r="Y34" s="71"/>
      <c r="Z34" s="71">
        <v>2.0092663668451718E-10</v>
      </c>
      <c r="AA34" s="71">
        <v>1.1881103978686044E-6</v>
      </c>
      <c r="AB34" s="71">
        <v>3.0799188411105827E-11</v>
      </c>
      <c r="AC34" s="71">
        <v>1.8988700825471304E-6</v>
      </c>
      <c r="AD34" s="71">
        <v>3.2060025580664343E-10</v>
      </c>
      <c r="AE34" s="71">
        <v>1.5217102639615953E-6</v>
      </c>
      <c r="AF34" s="71">
        <v>0.30577140965009297</v>
      </c>
      <c r="AG34" s="71">
        <v>9.623534422252119E-5</v>
      </c>
      <c r="AH34" s="71">
        <v>-9.5942378416867988E-5</v>
      </c>
      <c r="AI34" s="71">
        <v>4.4446140281967142E-5</v>
      </c>
      <c r="AJ34" s="71">
        <v>3.958541493745003</v>
      </c>
      <c r="AK34" s="71">
        <v>1.2464315870849885</v>
      </c>
      <c r="AL34" s="71">
        <v>0</v>
      </c>
      <c r="AM34" s="71">
        <v>0</v>
      </c>
      <c r="AN34" s="71">
        <v>0</v>
      </c>
      <c r="AO34" s="71">
        <v>0</v>
      </c>
      <c r="AP34" s="71">
        <v>0</v>
      </c>
      <c r="AQ34" s="71">
        <v>0.51566235139500916</v>
      </c>
      <c r="AR34" s="71">
        <v>7.9109046100448471E-2</v>
      </c>
      <c r="AS34" s="71">
        <v>0</v>
      </c>
      <c r="AT34" s="71">
        <v>0</v>
      </c>
      <c r="AU34" s="71">
        <v>2.7866850443842423E-2</v>
      </c>
      <c r="AV34" s="71">
        <v>0.15083907526680551</v>
      </c>
      <c r="AW34" s="71">
        <v>5.7798828143061517E-9</v>
      </c>
      <c r="AX34" s="71">
        <v>0</v>
      </c>
      <c r="AY34" s="71">
        <v>7.5441306911143113E-6</v>
      </c>
      <c r="AZ34" s="71">
        <v>1.1297301852325254</v>
      </c>
      <c r="BA34" s="71">
        <v>0</v>
      </c>
      <c r="BB34" s="71">
        <v>0</v>
      </c>
      <c r="BC34" s="71">
        <v>9.5616132183258941E-4</v>
      </c>
      <c r="BD34" s="71">
        <v>9.2637344457926021E-9</v>
      </c>
      <c r="BE34" s="71">
        <v>8.8739641362558276E-10</v>
      </c>
      <c r="BF34" s="71">
        <v>1.2072621562585467E-15</v>
      </c>
      <c r="BG34" s="71">
        <v>11080.92195765442</v>
      </c>
      <c r="BH34" s="71">
        <v>436.84022927725022</v>
      </c>
      <c r="BI34" s="71">
        <v>1.2008850973805505</v>
      </c>
      <c r="BJ34" s="71">
        <v>1.1559572441764274</v>
      </c>
      <c r="BK34" s="71">
        <v>4.054870138470829E-6</v>
      </c>
      <c r="BL34" s="71">
        <v>2.2550991028038712E-5</v>
      </c>
      <c r="BM34" s="71">
        <v>0</v>
      </c>
      <c r="BN34" s="71">
        <v>0</v>
      </c>
      <c r="BO34" s="71">
        <v>0</v>
      </c>
      <c r="BP34" s="73">
        <v>0.20848740105688809</v>
      </c>
      <c r="BQ34" s="73">
        <v>0.66213503938621976</v>
      </c>
      <c r="BR34" s="73">
        <v>9.9485879667735116E-2</v>
      </c>
      <c r="BS34" s="73">
        <v>2.5230463593872571E-2</v>
      </c>
      <c r="BT34" s="73">
        <v>4.6612162952843596E-3</v>
      </c>
      <c r="BU34" s="73">
        <v>1</v>
      </c>
      <c r="BV34" s="71">
        <v>8.2611442849239398E-6</v>
      </c>
      <c r="BW34" s="71">
        <v>2.4604385068414997E-5</v>
      </c>
      <c r="BX34" s="71">
        <v>7.0438795527473963E-4</v>
      </c>
      <c r="BY34" s="71">
        <v>1.7710195513364141E-4</v>
      </c>
      <c r="BZ34" s="71">
        <v>5.2416927178194865E-5</v>
      </c>
      <c r="CA34" s="74">
        <v>1.2739892530055927E-3</v>
      </c>
      <c r="CB34" s="52"/>
      <c r="CC34" s="52"/>
      <c r="CD34" s="52"/>
      <c r="CE34" s="66" t="s">
        <v>597</v>
      </c>
      <c r="CF34" s="75"/>
    </row>
    <row r="35" spans="1:84" x14ac:dyDescent="0.35">
      <c r="A35" s="69" t="str">
        <f t="shared" si="1"/>
        <v>Burnt Lime (or chalk) as  CaO kg CaO</v>
      </c>
      <c r="B35" s="70" t="s">
        <v>632</v>
      </c>
      <c r="C35" s="70">
        <v>1</v>
      </c>
      <c r="D35" s="70" t="s">
        <v>628</v>
      </c>
      <c r="E35" s="71">
        <v>6.1022913867328503</v>
      </c>
      <c r="F35" s="71">
        <v>1.161575559783345</v>
      </c>
      <c r="G35" s="71">
        <v>4.934242860836801E-6</v>
      </c>
      <c r="H35" s="71">
        <v>4.5269406985200879E-4</v>
      </c>
      <c r="I35" s="71"/>
      <c r="J35" s="71">
        <v>3.0492122144313203E-3</v>
      </c>
      <c r="K35" s="71"/>
      <c r="L35" s="71"/>
      <c r="M35" s="71"/>
      <c r="N35" s="71"/>
      <c r="O35" s="71">
        <v>9.0481170898485391E-8</v>
      </c>
      <c r="P35" s="71">
        <v>7.3242979368894806E-7</v>
      </c>
      <c r="Q35" s="71">
        <v>1.8529346990161797E-6</v>
      </c>
      <c r="R35" s="71">
        <v>0</v>
      </c>
      <c r="S35" s="71">
        <v>2.6444725096323122E-8</v>
      </c>
      <c r="T35" s="71"/>
      <c r="U35" s="71"/>
      <c r="V35" s="71"/>
      <c r="W35" s="71"/>
      <c r="X35" s="71"/>
      <c r="Y35" s="71"/>
      <c r="Z35" s="71">
        <v>2.0502718029032366E-10</v>
      </c>
      <c r="AA35" s="71">
        <v>1.2123575488455146E-6</v>
      </c>
      <c r="AB35" s="71">
        <v>3.1427743276638598E-11</v>
      </c>
      <c r="AC35" s="71">
        <v>1.9376225332113574E-6</v>
      </c>
      <c r="AD35" s="71">
        <v>3.2714311817004432E-10</v>
      </c>
      <c r="AE35" s="71">
        <v>1.5527655754710157E-6</v>
      </c>
      <c r="AF35" s="71">
        <v>0.31201164250009489</v>
      </c>
      <c r="AG35" s="71">
        <v>9.8199330839307338E-5</v>
      </c>
      <c r="AH35" s="71">
        <v>-9.7900386139661215E-5</v>
      </c>
      <c r="AI35" s="71">
        <v>4.5353204369354228E-5</v>
      </c>
      <c r="AJ35" s="71">
        <v>4.0393280548418398</v>
      </c>
      <c r="AK35" s="71">
        <v>1.2718689664132536</v>
      </c>
      <c r="AL35" s="71">
        <v>0</v>
      </c>
      <c r="AM35" s="71">
        <v>0</v>
      </c>
      <c r="AN35" s="71">
        <v>0</v>
      </c>
      <c r="AO35" s="71">
        <v>0</v>
      </c>
      <c r="AP35" s="71">
        <v>0</v>
      </c>
      <c r="AQ35" s="71">
        <v>0.52618607285205021</v>
      </c>
      <c r="AR35" s="71">
        <v>8.0723516429029057E-2</v>
      </c>
      <c r="AS35" s="71">
        <v>0</v>
      </c>
      <c r="AT35" s="71">
        <v>0</v>
      </c>
      <c r="AU35" s="71">
        <v>2.8435561677390229E-2</v>
      </c>
      <c r="AV35" s="71">
        <v>0.15391742374163828</v>
      </c>
      <c r="AW35" s="71">
        <v>5.8978396064348492E-9</v>
      </c>
      <c r="AX35" s="71">
        <v>0</v>
      </c>
      <c r="AY35" s="71">
        <v>7.6980925419533788E-6</v>
      </c>
      <c r="AZ35" s="71">
        <v>1.1527859032984953</v>
      </c>
      <c r="BA35" s="71">
        <v>0</v>
      </c>
      <c r="BB35" s="71">
        <v>0</v>
      </c>
      <c r="BC35" s="71">
        <v>9.7567481819651981E-4</v>
      </c>
      <c r="BD35" s="71">
        <v>9.452790250808778E-9</v>
      </c>
      <c r="BE35" s="71">
        <v>9.0550654451590084E-10</v>
      </c>
      <c r="BF35" s="71">
        <v>1.2319001594474967E-15</v>
      </c>
      <c r="BG35" s="71">
        <v>11307.063222096347</v>
      </c>
      <c r="BH35" s="71">
        <v>445.75533599719409</v>
      </c>
      <c r="BI35" s="71">
        <v>1.2253929565107657</v>
      </c>
      <c r="BJ35" s="71">
        <v>1.1795482083432933</v>
      </c>
      <c r="BK35" s="71">
        <v>4.1376225902763563E-6</v>
      </c>
      <c r="BL35" s="71">
        <v>2.3011215334733379E-5</v>
      </c>
      <c r="BM35" s="71">
        <v>0</v>
      </c>
      <c r="BN35" s="71">
        <v>0</v>
      </c>
      <c r="BO35" s="71">
        <v>0</v>
      </c>
      <c r="BP35" s="73">
        <v>0.20848740105688809</v>
      </c>
      <c r="BQ35" s="73">
        <v>0.66213503938621976</v>
      </c>
      <c r="BR35" s="73">
        <v>9.9485879667735144E-2</v>
      </c>
      <c r="BS35" s="73">
        <v>2.5230463593872571E-2</v>
      </c>
      <c r="BT35" s="73">
        <v>4.6612162952843605E-3</v>
      </c>
      <c r="BU35" s="73">
        <v>1</v>
      </c>
      <c r="BV35" s="71">
        <v>8.4297390662489184E-6</v>
      </c>
      <c r="BW35" s="71">
        <v>2.5106515375933671E-5</v>
      </c>
      <c r="BX35" s="71">
        <v>7.1876321966810172E-4</v>
      </c>
      <c r="BY35" s="71">
        <v>1.8071628074861368E-4</v>
      </c>
      <c r="BZ35" s="71">
        <v>5.3486660385913125E-5</v>
      </c>
      <c r="CA35" s="74">
        <v>1.2739892530056081E-3</v>
      </c>
      <c r="CB35" s="52"/>
      <c r="CC35" s="52"/>
      <c r="CD35" s="52"/>
      <c r="CE35" s="66" t="s">
        <v>597</v>
      </c>
      <c r="CF35" s="75"/>
    </row>
    <row r="36" spans="1:84" x14ac:dyDescent="0.35">
      <c r="A36" s="69" t="str">
        <f t="shared" si="1"/>
        <v>Burnt Lime (or chalk) as  Ca kg Ca</v>
      </c>
      <c r="B36" s="70" t="s">
        <v>633</v>
      </c>
      <c r="C36" s="70">
        <v>1</v>
      </c>
      <c r="D36" s="70" t="s">
        <v>630</v>
      </c>
      <c r="E36" s="71">
        <v>8.5371208677235124</v>
      </c>
      <c r="F36" s="71">
        <v>1.6250471048340565</v>
      </c>
      <c r="G36" s="71">
        <v>6.9030180671557238E-6</v>
      </c>
      <c r="H36" s="71">
        <v>6.3332013263585265E-4</v>
      </c>
      <c r="I36" s="71"/>
      <c r="J36" s="71">
        <v>4.2658554920099023E-3</v>
      </c>
      <c r="K36" s="71"/>
      <c r="L36" s="71"/>
      <c r="M36" s="71"/>
      <c r="N36" s="71"/>
      <c r="O36" s="71">
        <v>1.2658338372581123E-7</v>
      </c>
      <c r="P36" s="71">
        <v>1.0246711078790521E-6</v>
      </c>
      <c r="Q36" s="71">
        <v>2.5922602647084207E-6</v>
      </c>
      <c r="R36" s="71">
        <v>0</v>
      </c>
      <c r="S36" s="71">
        <v>3.6996236356701421E-8</v>
      </c>
      <c r="T36" s="71"/>
      <c r="U36" s="71"/>
      <c r="V36" s="71"/>
      <c r="W36" s="71"/>
      <c r="X36" s="71"/>
      <c r="Y36" s="71"/>
      <c r="Z36" s="71">
        <v>2.8683353651588919E-10</v>
      </c>
      <c r="AA36" s="71">
        <v>1.6960912341704081E-6</v>
      </c>
      <c r="AB36" s="71">
        <v>4.3967491217442031E-11</v>
      </c>
      <c r="AC36" s="71">
        <v>2.7107387559390811E-6</v>
      </c>
      <c r="AD36" s="71">
        <v>4.576740381381418E-10</v>
      </c>
      <c r="AE36" s="71">
        <v>2.1723229123173062E-6</v>
      </c>
      <c r="AF36" s="71">
        <v>0.43650506594152927</v>
      </c>
      <c r="AG36" s="71">
        <v>1.3738110873030279E-4</v>
      </c>
      <c r="AH36" s="71">
        <v>-1.3696288434999985E-4</v>
      </c>
      <c r="AI36" s="71">
        <v>6.3449246012986833E-5</v>
      </c>
      <c r="AJ36" s="71">
        <v>5.6510300218610272</v>
      </c>
      <c r="AK36" s="71">
        <v>1.7793478557552</v>
      </c>
      <c r="AL36" s="71">
        <v>0</v>
      </c>
      <c r="AM36" s="71">
        <v>0</v>
      </c>
      <c r="AN36" s="71">
        <v>0</v>
      </c>
      <c r="AO36" s="71">
        <v>0</v>
      </c>
      <c r="AP36" s="71">
        <v>0</v>
      </c>
      <c r="AQ36" s="71">
        <v>0.73613562810473854</v>
      </c>
      <c r="AR36" s="71">
        <v>0.11293240078973892</v>
      </c>
      <c r="AS36" s="71">
        <v>0</v>
      </c>
      <c r="AT36" s="71">
        <v>0</v>
      </c>
      <c r="AU36" s="71">
        <v>3.9781421698294066E-2</v>
      </c>
      <c r="AV36" s="71">
        <v>0.21533085964852638</v>
      </c>
      <c r="AW36" s="71">
        <v>8.2510923172317969E-9</v>
      </c>
      <c r="AX36" s="71">
        <v>0</v>
      </c>
      <c r="AY36" s="71">
        <v>1.0769650663431035E-5</v>
      </c>
      <c r="AZ36" s="71">
        <v>1.6127503534924086</v>
      </c>
      <c r="BA36" s="71">
        <v>0</v>
      </c>
      <c r="BB36" s="71">
        <v>0</v>
      </c>
      <c r="BC36" s="71">
        <v>1.3649715037612159E-3</v>
      </c>
      <c r="BD36" s="71">
        <v>1.32244771339245E-8</v>
      </c>
      <c r="BE36" s="71">
        <v>1.2668059138988038E-9</v>
      </c>
      <c r="BF36" s="71">
        <v>1.7234313951372709E-15</v>
      </c>
      <c r="BG36" s="71">
        <v>15818.609644877934</v>
      </c>
      <c r="BH36" s="71">
        <v>623.61282666939132</v>
      </c>
      <c r="BI36" s="71">
        <v>1.7143278020013455</v>
      </c>
      <c r="BJ36" s="71">
        <v>1.6501908849889964</v>
      </c>
      <c r="BK36" s="71">
        <v>5.788544322057446E-6</v>
      </c>
      <c r="BL36" s="71">
        <v>3.2192747637868891E-5</v>
      </c>
      <c r="BM36" s="71">
        <v>0</v>
      </c>
      <c r="BN36" s="71">
        <v>0</v>
      </c>
      <c r="BO36" s="71">
        <v>0</v>
      </c>
      <c r="BP36" s="73">
        <v>0.20848740105688815</v>
      </c>
      <c r="BQ36" s="73">
        <v>0.66213503938621987</v>
      </c>
      <c r="BR36" s="73">
        <v>9.9485879667735158E-2</v>
      </c>
      <c r="BS36" s="73">
        <v>2.5230463593872578E-2</v>
      </c>
      <c r="BT36" s="73">
        <v>4.6612162952843622E-3</v>
      </c>
      <c r="BU36" s="73">
        <v>1</v>
      </c>
      <c r="BV36" s="71">
        <v>1.179322597547542E-5</v>
      </c>
      <c r="BW36" s="71">
        <v>3.5124077620695236E-5</v>
      </c>
      <c r="BX36" s="71">
        <v>1.0055515367426559E-3</v>
      </c>
      <c r="BY36" s="71">
        <v>2.5282252743135232E-4</v>
      </c>
      <c r="BZ36" s="71">
        <v>7.4827971263085442E-5</v>
      </c>
      <c r="CA36" s="74">
        <v>1.2739892530056124E-3</v>
      </c>
      <c r="CB36" s="52"/>
      <c r="CC36" s="52"/>
      <c r="CD36" s="52"/>
      <c r="CE36" s="66" t="s">
        <v>597</v>
      </c>
      <c r="CF36" s="75"/>
    </row>
    <row r="37" spans="1:84" x14ac:dyDescent="0.35">
      <c r="A37" s="69" t="str">
        <f t="shared" si="1"/>
        <v>Weighted Lime usage as product kg product</v>
      </c>
      <c r="B37" s="70" t="s">
        <v>634</v>
      </c>
      <c r="C37" s="70">
        <v>1</v>
      </c>
      <c r="D37" s="70" t="s">
        <v>626</v>
      </c>
      <c r="E37" s="71">
        <v>2.3689495014776267</v>
      </c>
      <c r="F37" s="71">
        <v>0.26673722390128729</v>
      </c>
      <c r="G37" s="71">
        <v>9.1574430906495301E-7</v>
      </c>
      <c r="H37" s="71">
        <v>1.6004318807446213E-4</v>
      </c>
      <c r="I37" s="71">
        <v>0</v>
      </c>
      <c r="J37" s="71">
        <v>1.102571753685745E-3</v>
      </c>
      <c r="K37" s="71">
        <v>0</v>
      </c>
      <c r="L37" s="71">
        <v>0</v>
      </c>
      <c r="M37" s="71">
        <v>0</v>
      </c>
      <c r="N37" s="71">
        <v>0</v>
      </c>
      <c r="O37" s="71">
        <v>4.0102982420302982E-8</v>
      </c>
      <c r="P37" s="71">
        <v>7.5261077395125761E-7</v>
      </c>
      <c r="Q37" s="71">
        <v>1.1913169040802742E-6</v>
      </c>
      <c r="R37" s="71">
        <v>0</v>
      </c>
      <c r="S37" s="71">
        <v>3.7778178709033031E-9</v>
      </c>
      <c r="T37" s="71"/>
      <c r="U37" s="71"/>
      <c r="V37" s="71"/>
      <c r="W37" s="71"/>
      <c r="X37" s="71"/>
      <c r="Y37" s="71"/>
      <c r="Z37" s="71">
        <v>2.9289597184331955E-11</v>
      </c>
      <c r="AA37" s="71">
        <v>1.7319395871343742E-7</v>
      </c>
      <c r="AB37" s="71">
        <v>1.0233519601633492E-11</v>
      </c>
      <c r="AC37" s="71">
        <v>1.0355326150748268E-6</v>
      </c>
      <c r="AD37" s="71">
        <v>1.0744994696291227E-10</v>
      </c>
      <c r="AE37" s="71">
        <v>4.7201531386069575E-7</v>
      </c>
      <c r="AF37" s="71">
        <v>0.16268749641151678</v>
      </c>
      <c r="AG37" s="71">
        <v>1.4031965598037392E-5</v>
      </c>
      <c r="AH37" s="71">
        <v>-1.0455817575924084E-4</v>
      </c>
      <c r="AI37" s="71">
        <v>4.7879931163807756E-5</v>
      </c>
      <c r="AJ37" s="71">
        <v>0.7388170825825342</v>
      </c>
      <c r="AK37" s="71">
        <v>1.3434423318222271</v>
      </c>
      <c r="AL37" s="71">
        <v>0</v>
      </c>
      <c r="AM37" s="71">
        <v>0</v>
      </c>
      <c r="AN37" s="71">
        <v>0</v>
      </c>
      <c r="AO37" s="71">
        <v>0</v>
      </c>
      <c r="AP37" s="71">
        <v>0</v>
      </c>
      <c r="AQ37" s="71">
        <v>0.14656875614766801</v>
      </c>
      <c r="AR37" s="71">
        <v>1.6184799792685965E-2</v>
      </c>
      <c r="AS37" s="71">
        <v>0</v>
      </c>
      <c r="AT37" s="71">
        <v>0</v>
      </c>
      <c r="AU37" s="71">
        <v>1.0697184490920036E-2</v>
      </c>
      <c r="AV37" s="71">
        <v>0.10297407364735629</v>
      </c>
      <c r="AW37" s="71">
        <v>8.5867136789177769E-10</v>
      </c>
      <c r="AX37" s="71">
        <v>0</v>
      </c>
      <c r="AY37" s="71">
        <v>1.0997275059933401E-6</v>
      </c>
      <c r="AZ37" s="71">
        <v>0.2635574274890094</v>
      </c>
      <c r="BA37" s="71">
        <v>0</v>
      </c>
      <c r="BB37" s="71">
        <v>0</v>
      </c>
      <c r="BC37" s="71">
        <v>2.5139150594061526E-4</v>
      </c>
      <c r="BD37" s="71">
        <v>7.4843820813200867E-9</v>
      </c>
      <c r="BE37" s="71">
        <v>1.3069021727039775E-10</v>
      </c>
      <c r="BF37" s="71">
        <v>7.4846077182503197E-16</v>
      </c>
      <c r="BG37" s="71">
        <v>8085.146728373551</v>
      </c>
      <c r="BH37" s="71">
        <v>318.76024110814865</v>
      </c>
      <c r="BI37" s="71">
        <v>0.28378812364324796</v>
      </c>
      <c r="BJ37" s="71">
        <v>0.27200654052483864</v>
      </c>
      <c r="BK37" s="71">
        <v>5.9108894146805098E-7</v>
      </c>
      <c r="BL37" s="71">
        <v>3.2873164763904834E-6</v>
      </c>
      <c r="BM37" s="71">
        <v>0</v>
      </c>
      <c r="BN37" s="71">
        <v>0</v>
      </c>
      <c r="BO37" s="71">
        <v>0</v>
      </c>
      <c r="BP37" s="73">
        <v>0.56957277943306817</v>
      </c>
      <c r="BQ37" s="73">
        <v>0.31323272257498652</v>
      </c>
      <c r="BR37" s="73">
        <v>6.9001841778966233E-2</v>
      </c>
      <c r="BS37" s="73">
        <v>4.3657422389926065E-2</v>
      </c>
      <c r="BT37" s="73">
        <v>4.5352338230532077E-3</v>
      </c>
      <c r="BU37" s="73">
        <v>1.0000000000000002</v>
      </c>
      <c r="BV37" s="71">
        <v>1.8341015745030464E-6</v>
      </c>
      <c r="BW37" s="71">
        <v>2.0279516016851045E-5</v>
      </c>
      <c r="BX37" s="71">
        <v>8.1122426367090481E-4</v>
      </c>
      <c r="BY37" s="71">
        <v>1.8144782693753583E-4</v>
      </c>
      <c r="BZ37" s="71">
        <v>4.7795053931355522E-5</v>
      </c>
      <c r="CA37" s="74">
        <v>5.9059193828439492E-3</v>
      </c>
      <c r="CB37" s="52"/>
      <c r="CC37" s="52"/>
      <c r="CD37" s="52"/>
      <c r="CE37" s="66" t="s">
        <v>597</v>
      </c>
      <c r="CF37" s="75"/>
    </row>
    <row r="38" spans="1:84" x14ac:dyDescent="0.35">
      <c r="A38" s="69" t="str">
        <f t="shared" si="1"/>
        <v>Weighted Lime usage as CaO kg CaO</v>
      </c>
      <c r="B38" s="70" t="s">
        <v>635</v>
      </c>
      <c r="C38" s="70">
        <v>1</v>
      </c>
      <c r="D38" s="70" t="s">
        <v>628</v>
      </c>
      <c r="E38" s="71">
        <v>2.259543919900175</v>
      </c>
      <c r="F38" s="71">
        <v>0.25722656815423212</v>
      </c>
      <c r="G38" s="71">
        <v>8.8869410619469102E-7</v>
      </c>
      <c r="H38" s="71">
        <v>1.5289117346533869E-4</v>
      </c>
      <c r="I38" s="71">
        <v>0</v>
      </c>
      <c r="J38" s="71">
        <v>1.0528887039631118E-3</v>
      </c>
      <c r="K38" s="71">
        <v>0</v>
      </c>
      <c r="L38" s="71">
        <v>0</v>
      </c>
      <c r="M38" s="71">
        <v>0</v>
      </c>
      <c r="N38" s="71">
        <v>0</v>
      </c>
      <c r="O38" s="71">
        <v>3.8175014307557035E-8</v>
      </c>
      <c r="P38" s="71">
        <v>7.1071375784057407E-7</v>
      </c>
      <c r="Q38" s="71">
        <v>1.1291023567625816E-6</v>
      </c>
      <c r="R38" s="71">
        <v>0</v>
      </c>
      <c r="S38" s="71">
        <v>3.7022615134852373E-9</v>
      </c>
      <c r="T38" s="71"/>
      <c r="U38" s="71"/>
      <c r="V38" s="71"/>
      <c r="W38" s="71"/>
      <c r="X38" s="71"/>
      <c r="Y38" s="71"/>
      <c r="Z38" s="71">
        <v>2.8703805240645314E-11</v>
      </c>
      <c r="AA38" s="71">
        <v>1.6973007857951399E-7</v>
      </c>
      <c r="AB38" s="71">
        <v>9.790890041415296E-12</v>
      </c>
      <c r="AC38" s="71">
        <v>9.833888877943384E-7</v>
      </c>
      <c r="AD38" s="71">
        <v>1.0278560336925812E-10</v>
      </c>
      <c r="AE38" s="71">
        <v>4.5220992451714272E-7</v>
      </c>
      <c r="AF38" s="71">
        <v>0.15454043543450374</v>
      </c>
      <c r="AG38" s="71">
        <v>1.3751181710145688E-5</v>
      </c>
      <c r="AH38" s="71">
        <v>-9.871472683975485E-5</v>
      </c>
      <c r="AI38" s="71">
        <v>4.5207152316135334E-5</v>
      </c>
      <c r="AJ38" s="71">
        <v>0.71733883191581393</v>
      </c>
      <c r="AK38" s="71">
        <v>1.2684439763421238</v>
      </c>
      <c r="AL38" s="71">
        <v>0</v>
      </c>
      <c r="AM38" s="71">
        <v>0</v>
      </c>
      <c r="AN38" s="71">
        <v>0</v>
      </c>
      <c r="AO38" s="71">
        <v>0</v>
      </c>
      <c r="AP38" s="71">
        <v>0</v>
      </c>
      <c r="AQ38" s="71">
        <v>0.14067940931343564</v>
      </c>
      <c r="AR38" s="71">
        <v>1.5668342086327468E-2</v>
      </c>
      <c r="AS38" s="71">
        <v>0</v>
      </c>
      <c r="AT38" s="71">
        <v>0</v>
      </c>
      <c r="AU38" s="71">
        <v>1.0208363829058278E-2</v>
      </c>
      <c r="AV38" s="71">
        <v>9.7559463263816121E-2</v>
      </c>
      <c r="AW38" s="71">
        <v>8.4082999377977465E-10</v>
      </c>
      <c r="AX38" s="71">
        <v>0</v>
      </c>
      <c r="AY38" s="71">
        <v>1.0777329558734732E-6</v>
      </c>
      <c r="AZ38" s="71">
        <v>0.25419008167706336</v>
      </c>
      <c r="BA38" s="71">
        <v>0</v>
      </c>
      <c r="BB38" s="71">
        <v>0</v>
      </c>
      <c r="BC38" s="71">
        <v>2.4172328684665074E-4</v>
      </c>
      <c r="BD38" s="71">
        <v>7.0805722671968425E-9</v>
      </c>
      <c r="BE38" s="71">
        <v>1.2802122428928987E-10</v>
      </c>
      <c r="BF38" s="71">
        <v>7.0977473351985696E-16</v>
      </c>
      <c r="BG38" s="71">
        <v>7655.4070688226029</v>
      </c>
      <c r="BH38" s="71">
        <v>301.81739869393761</v>
      </c>
      <c r="BI38" s="71">
        <v>0.2736077502804305</v>
      </c>
      <c r="BJ38" s="71">
        <v>0.26227856692156903</v>
      </c>
      <c r="BK38" s="71">
        <v>5.7926716263868995E-7</v>
      </c>
      <c r="BL38" s="71">
        <v>3.2215701468626735E-6</v>
      </c>
      <c r="BM38" s="71">
        <v>0</v>
      </c>
      <c r="BN38" s="71">
        <v>0</v>
      </c>
      <c r="BO38" s="71">
        <v>0</v>
      </c>
      <c r="BP38" s="73">
        <v>0.5637783394182877</v>
      </c>
      <c r="BQ38" s="73">
        <v>0.31883165752735765</v>
      </c>
      <c r="BR38" s="73">
        <v>6.9491027826180621E-2</v>
      </c>
      <c r="BS38" s="73">
        <v>4.3361719728470381E-2</v>
      </c>
      <c r="BT38" s="73">
        <v>4.537255499703588E-3</v>
      </c>
      <c r="BU38" s="73">
        <v>1</v>
      </c>
      <c r="BV38" s="71">
        <v>1.7713256273593325E-6</v>
      </c>
      <c r="BW38" s="71">
        <v>1.9182363899469396E-5</v>
      </c>
      <c r="BX38" s="71">
        <v>7.6564582081487074E-4</v>
      </c>
      <c r="BY38" s="71">
        <v>1.7137129147498715E-4</v>
      </c>
      <c r="BZ38" s="71">
        <v>4.517562575132562E-5</v>
      </c>
      <c r="CA38" s="74">
        <v>5.7826325174129079E-3</v>
      </c>
      <c r="CB38" s="52"/>
      <c r="CC38" s="52"/>
      <c r="CD38" s="52"/>
      <c r="CE38" s="66" t="s">
        <v>597</v>
      </c>
      <c r="CF38" s="75"/>
    </row>
    <row r="39" spans="1:84" x14ac:dyDescent="0.35">
      <c r="A39" s="69" t="str">
        <f t="shared" si="1"/>
        <v>Weighted Lime usage as Ca kg Ca</v>
      </c>
      <c r="B39" s="70" t="s">
        <v>636</v>
      </c>
      <c r="C39" s="70">
        <v>1</v>
      </c>
      <c r="D39" s="70" t="s">
        <v>630</v>
      </c>
      <c r="E39" s="71">
        <v>3.1611075787132124</v>
      </c>
      <c r="F39" s="71">
        <v>0.35986061031053423</v>
      </c>
      <c r="G39" s="71">
        <v>1.2432852707611514E-6</v>
      </c>
      <c r="H39" s="71">
        <v>2.138951329527556E-4</v>
      </c>
      <c r="I39" s="71">
        <v>0</v>
      </c>
      <c r="J39" s="71">
        <v>1.4729939225020094E-3</v>
      </c>
      <c r="K39" s="71">
        <v>0</v>
      </c>
      <c r="L39" s="71">
        <v>0</v>
      </c>
      <c r="M39" s="71">
        <v>0</v>
      </c>
      <c r="N39" s="71">
        <v>0</v>
      </c>
      <c r="O39" s="71">
        <v>5.3406940215809215E-8</v>
      </c>
      <c r="P39" s="71">
        <v>9.9429031957247408E-7</v>
      </c>
      <c r="Q39" s="71">
        <v>1.5796170128274521E-6</v>
      </c>
      <c r="R39" s="71">
        <v>0</v>
      </c>
      <c r="S39" s="71">
        <v>5.1794730899381997E-9</v>
      </c>
      <c r="T39" s="71"/>
      <c r="U39" s="71"/>
      <c r="V39" s="71"/>
      <c r="W39" s="71"/>
      <c r="X39" s="71"/>
      <c r="Y39" s="71"/>
      <c r="Z39" s="71">
        <v>4.0156695112224491E-11</v>
      </c>
      <c r="AA39" s="71">
        <v>2.3745280319976894E-7</v>
      </c>
      <c r="AB39" s="71">
        <v>1.3697479584124641E-11</v>
      </c>
      <c r="AC39" s="71">
        <v>1.3757635063656455E-6</v>
      </c>
      <c r="AD39" s="71">
        <v>1.4379731543679253E-10</v>
      </c>
      <c r="AE39" s="71">
        <v>6.3264281210503004E-7</v>
      </c>
      <c r="AF39" s="71">
        <v>0.21620245456049025</v>
      </c>
      <c r="AG39" s="71">
        <v>1.9237937504717533E-5</v>
      </c>
      <c r="AH39" s="71">
        <v>-1.3810214902020565E-4</v>
      </c>
      <c r="AI39" s="71">
        <v>6.3244918826314031E-5</v>
      </c>
      <c r="AJ39" s="71">
        <v>1.0035588147251162</v>
      </c>
      <c r="AK39" s="71">
        <v>1.7745562861045674</v>
      </c>
      <c r="AL39" s="71">
        <v>0</v>
      </c>
      <c r="AM39" s="71">
        <v>0</v>
      </c>
      <c r="AN39" s="71">
        <v>0</v>
      </c>
      <c r="AO39" s="71">
        <v>0</v>
      </c>
      <c r="AP39" s="71">
        <v>0</v>
      </c>
      <c r="AQ39" s="71">
        <v>0.19681084445096608</v>
      </c>
      <c r="AR39" s="71">
        <v>2.1920049651944412E-2</v>
      </c>
      <c r="AS39" s="71">
        <v>0</v>
      </c>
      <c r="AT39" s="71">
        <v>0</v>
      </c>
      <c r="AU39" s="71">
        <v>1.4281526454118938E-2</v>
      </c>
      <c r="AV39" s="71">
        <v>0.13648593239651083</v>
      </c>
      <c r="AW39" s="71">
        <v>1.1763232581308069E-9</v>
      </c>
      <c r="AX39" s="71">
        <v>0</v>
      </c>
      <c r="AY39" s="71">
        <v>1.5077510928803453E-6</v>
      </c>
      <c r="AZ39" s="71">
        <v>0.35561255815668963</v>
      </c>
      <c r="BA39" s="71">
        <v>0</v>
      </c>
      <c r="BB39" s="71">
        <v>0</v>
      </c>
      <c r="BC39" s="71">
        <v>3.3817148109967845E-4</v>
      </c>
      <c r="BD39" s="71">
        <v>9.9057382590958315E-9</v>
      </c>
      <c r="BE39" s="71">
        <v>1.7910201203563996E-10</v>
      </c>
      <c r="BF39" s="71">
        <v>9.9297662220608426E-16</v>
      </c>
      <c r="BG39" s="71">
        <v>10709.933580073517</v>
      </c>
      <c r="BH39" s="71">
        <v>422.24329343466087</v>
      </c>
      <c r="BI39" s="71">
        <v>0.38277792495591401</v>
      </c>
      <c r="BJ39" s="71">
        <v>0.36692836918453925</v>
      </c>
      <c r="BK39" s="71">
        <v>8.1039620508804262E-7</v>
      </c>
      <c r="BL39" s="71">
        <v>4.5069846693016458E-6</v>
      </c>
      <c r="BM39" s="71">
        <v>0</v>
      </c>
      <c r="BN39" s="71">
        <v>0</v>
      </c>
      <c r="BO39" s="71">
        <v>0</v>
      </c>
      <c r="BP39" s="73">
        <v>0.5637783394182877</v>
      </c>
      <c r="BQ39" s="73">
        <v>0.31883165752735765</v>
      </c>
      <c r="BR39" s="73">
        <v>6.9491027826180621E-2</v>
      </c>
      <c r="BS39" s="73">
        <v>4.3361719728470381E-2</v>
      </c>
      <c r="BT39" s="73">
        <v>4.537255499703588E-3</v>
      </c>
      <c r="BU39" s="73">
        <v>1</v>
      </c>
      <c r="BV39" s="71">
        <v>2.4780889699465976E-6</v>
      </c>
      <c r="BW39" s="71">
        <v>2.6836174931676636E-5</v>
      </c>
      <c r="BX39" s="71">
        <v>1.0711404126612031E-3</v>
      </c>
      <c r="BY39" s="71">
        <v>2.3974886413333612E-4</v>
      </c>
      <c r="BZ39" s="71">
        <v>6.3200813083525359E-5</v>
      </c>
      <c r="CA39" s="74">
        <v>5.7826325174131811E-3</v>
      </c>
      <c r="CB39" s="52"/>
      <c r="CC39" s="52"/>
      <c r="CD39" s="52"/>
      <c r="CE39" s="66" t="s">
        <v>597</v>
      </c>
      <c r="CF39" s="75"/>
    </row>
    <row r="40" spans="1:84" x14ac:dyDescent="0.35">
      <c r="A40" s="69" t="str">
        <f t="shared" si="1"/>
        <v>Imported compost (total FW basis) t</v>
      </c>
      <c r="B40" s="70" t="s">
        <v>637</v>
      </c>
      <c r="C40" s="70">
        <v>1</v>
      </c>
      <c r="D40" s="70" t="s">
        <v>638</v>
      </c>
      <c r="E40" s="71">
        <v>83.443505200222873</v>
      </c>
      <c r="F40" s="71">
        <v>5.7315275602416573</v>
      </c>
      <c r="G40" s="71">
        <v>8.8785662239965554E-6</v>
      </c>
      <c r="H40" s="71">
        <v>3.4920605494036276E-3</v>
      </c>
      <c r="I40" s="71"/>
      <c r="J40" s="71">
        <v>3.7546526506441351E-2</v>
      </c>
      <c r="K40" s="71"/>
      <c r="L40" s="71"/>
      <c r="M40" s="71"/>
      <c r="N40" s="71"/>
      <c r="O40" s="71">
        <v>1.1967055777017314E-6</v>
      </c>
      <c r="P40" s="71">
        <v>3.9500415219102812E-5</v>
      </c>
      <c r="Q40" s="71">
        <v>4.8499253176494354E-5</v>
      </c>
      <c r="R40" s="71">
        <v>0</v>
      </c>
      <c r="S40" s="71">
        <v>0</v>
      </c>
      <c r="T40" s="71"/>
      <c r="U40" s="71"/>
      <c r="V40" s="71"/>
      <c r="W40" s="71"/>
      <c r="X40" s="71"/>
      <c r="Y40" s="71"/>
      <c r="Z40" s="71">
        <v>0</v>
      </c>
      <c r="AA40" s="71">
        <v>8.1552038779504202E-13</v>
      </c>
      <c r="AB40" s="71">
        <v>3.3453153974669286E-10</v>
      </c>
      <c r="AC40" s="71">
        <v>2.6558143730997057E-5</v>
      </c>
      <c r="AD40" s="71">
        <v>3.817343958806676E-9</v>
      </c>
      <c r="AE40" s="71">
        <v>1.4056551363638828E-5</v>
      </c>
      <c r="AF40" s="71">
        <v>3.2242568670804936</v>
      </c>
      <c r="AG40" s="71">
        <v>8.2869590697048263E-8</v>
      </c>
      <c r="AH40" s="71">
        <v>-5.5996876792295076E-3</v>
      </c>
      <c r="AI40" s="71">
        <v>2.5961964082598012E-3</v>
      </c>
      <c r="AJ40" s="71">
        <v>6.2355923131445126</v>
      </c>
      <c r="AK40" s="71">
        <v>72.911400280416956</v>
      </c>
      <c r="AL40" s="71">
        <v>0</v>
      </c>
      <c r="AM40" s="71">
        <v>0</v>
      </c>
      <c r="AN40" s="71">
        <v>0</v>
      </c>
      <c r="AO40" s="71">
        <v>0</v>
      </c>
      <c r="AP40" s="71">
        <v>0</v>
      </c>
      <c r="AQ40" s="71">
        <v>0.80230467071711742</v>
      </c>
      <c r="AR40" s="71">
        <v>0.57451281240629526</v>
      </c>
      <c r="AS40" s="71">
        <v>0</v>
      </c>
      <c r="AT40" s="71">
        <v>0</v>
      </c>
      <c r="AU40" s="71">
        <v>0.3650227849499163</v>
      </c>
      <c r="AV40" s="71">
        <v>1.9238276820492175</v>
      </c>
      <c r="AW40" s="71">
        <v>8.11272647692247E-10</v>
      </c>
      <c r="AX40" s="71">
        <v>0</v>
      </c>
      <c r="AY40" s="71">
        <v>0</v>
      </c>
      <c r="AZ40" s="71">
        <v>5.6242785602131713</v>
      </c>
      <c r="BA40" s="71">
        <v>0</v>
      </c>
      <c r="BB40" s="71">
        <v>0</v>
      </c>
      <c r="BC40" s="71">
        <v>5.6726799750061035E-3</v>
      </c>
      <c r="BD40" s="71">
        <v>3.8283062712718262E-7</v>
      </c>
      <c r="BE40" s="71">
        <v>2.8817388399659756E-11</v>
      </c>
      <c r="BF40" s="71">
        <v>1.4754773358500851E-14</v>
      </c>
      <c r="BG40" s="71">
        <v>153691.28164142021</v>
      </c>
      <c r="BH40" s="71">
        <v>6059.2538152400266</v>
      </c>
      <c r="BI40" s="71">
        <v>6.1543759382769059</v>
      </c>
      <c r="BJ40" s="71">
        <v>5.8766442726751258</v>
      </c>
      <c r="BK40" s="71">
        <v>0</v>
      </c>
      <c r="BL40" s="71">
        <v>0</v>
      </c>
      <c r="BM40" s="71">
        <v>0</v>
      </c>
      <c r="BN40" s="71">
        <v>0</v>
      </c>
      <c r="BO40" s="71">
        <v>0</v>
      </c>
      <c r="BP40" s="78">
        <v>0.88043784370332956</v>
      </c>
      <c r="BQ40" s="78">
        <v>7.529757252340917E-2</v>
      </c>
      <c r="BR40" s="78">
        <v>1.6625688319687977E-2</v>
      </c>
      <c r="BS40" s="78">
        <v>2.3231081689911295E-2</v>
      </c>
      <c r="BT40" s="78">
        <v>4.4078137636619618E-3</v>
      </c>
      <c r="BU40" s="78">
        <v>1</v>
      </c>
      <c r="BV40" s="71">
        <v>3.3225220597501571E-5</v>
      </c>
      <c r="BW40" s="71">
        <v>9.9771049388646879E-4</v>
      </c>
      <c r="BX40" s="71">
        <v>4.3359773622809274E-2</v>
      </c>
      <c r="BY40" s="71">
        <v>9.5204264293676545E-3</v>
      </c>
      <c r="BZ40" s="71">
        <v>2.6562649855641214E-3</v>
      </c>
      <c r="CA40" s="74">
        <v>1.4946830469072931E-2</v>
      </c>
      <c r="CB40" s="52"/>
      <c r="CC40" s="52"/>
      <c r="CD40" s="52"/>
      <c r="CE40" s="66" t="s">
        <v>597</v>
      </c>
      <c r="CF40" s="75"/>
    </row>
    <row r="41" spans="1:84" x14ac:dyDescent="0.35">
      <c r="A41" s="69" t="str">
        <f t="shared" si="1"/>
        <v>Compost-N kg</v>
      </c>
      <c r="B41" s="70" t="s">
        <v>639</v>
      </c>
      <c r="C41" s="70">
        <v>1</v>
      </c>
      <c r="D41" s="70" t="s">
        <v>605</v>
      </c>
      <c r="E41" s="71">
        <v>8.9053900960750134</v>
      </c>
      <c r="F41" s="71">
        <v>0.61168917398523559</v>
      </c>
      <c r="G41" s="71">
        <v>9.4755242518639875E-7</v>
      </c>
      <c r="H41" s="71">
        <v>3.7268522405588343E-4</v>
      </c>
      <c r="I41" s="71"/>
      <c r="J41" s="71">
        <v>4.0070999473256512E-3</v>
      </c>
      <c r="K41" s="71"/>
      <c r="L41" s="71"/>
      <c r="M41" s="71"/>
      <c r="N41" s="71"/>
      <c r="O41" s="71">
        <v>1.2771671053380272E-7</v>
      </c>
      <c r="P41" s="71">
        <v>4.2156259572148151E-6</v>
      </c>
      <c r="Q41" s="71">
        <v>5.176014213073037E-6</v>
      </c>
      <c r="R41" s="71">
        <v>0</v>
      </c>
      <c r="S41" s="71">
        <v>0</v>
      </c>
      <c r="T41" s="71"/>
      <c r="U41" s="71"/>
      <c r="V41" s="71"/>
      <c r="W41" s="71"/>
      <c r="X41" s="71"/>
      <c r="Y41" s="71"/>
      <c r="Z41" s="71">
        <v>0</v>
      </c>
      <c r="AA41" s="71">
        <v>8.7035260170228606E-14</v>
      </c>
      <c r="AB41" s="71">
        <v>3.5702405522592622E-11</v>
      </c>
      <c r="AC41" s="71">
        <v>2.8343803341512334E-6</v>
      </c>
      <c r="AD41" s="71">
        <v>4.0740063594521623E-10</v>
      </c>
      <c r="AE41" s="71">
        <v>1.5001655670905902E-6</v>
      </c>
      <c r="AF41" s="71">
        <v>0.34410425475779016</v>
      </c>
      <c r="AG41" s="71">
        <v>8.844139882289037E-9</v>
      </c>
      <c r="AH41" s="71">
        <v>-5.9761874911734342E-4</v>
      </c>
      <c r="AI41" s="71">
        <v>2.7707539042260418E-4</v>
      </c>
      <c r="AJ41" s="71">
        <v>0.66548477194711986</v>
      </c>
      <c r="AK41" s="71">
        <v>7.7813660918267837</v>
      </c>
      <c r="AL41" s="71">
        <v>0</v>
      </c>
      <c r="AM41" s="71">
        <v>0</v>
      </c>
      <c r="AN41" s="71">
        <v>0</v>
      </c>
      <c r="AO41" s="71">
        <v>0</v>
      </c>
      <c r="AP41" s="71">
        <v>0</v>
      </c>
      <c r="AQ41" s="71">
        <v>8.5624831453267602E-2</v>
      </c>
      <c r="AR41" s="71">
        <v>6.1314067492667587E-2</v>
      </c>
      <c r="AS41" s="71">
        <v>0</v>
      </c>
      <c r="AT41" s="71">
        <v>0</v>
      </c>
      <c r="AU41" s="71">
        <v>3.8956540549617537E-2</v>
      </c>
      <c r="AV41" s="71">
        <v>0.20531778890599975</v>
      </c>
      <c r="AW41" s="71">
        <v>8.6581926114434053E-11</v>
      </c>
      <c r="AX41" s="71">
        <v>0</v>
      </c>
      <c r="AY41" s="71">
        <v>0</v>
      </c>
      <c r="AZ41" s="71">
        <v>0.60024317611666722</v>
      </c>
      <c r="BA41" s="71">
        <v>0</v>
      </c>
      <c r="BB41" s="71">
        <v>0</v>
      </c>
      <c r="BC41" s="71">
        <v>6.0540874866660667E-4</v>
      </c>
      <c r="BD41" s="71">
        <v>4.0857057324139023E-8</v>
      </c>
      <c r="BE41" s="71">
        <v>3.0754950266445848E-12</v>
      </c>
      <c r="BF41" s="71">
        <v>1.574682322145235E-15</v>
      </c>
      <c r="BG41" s="71">
        <v>16402.484700258294</v>
      </c>
      <c r="BH41" s="71">
        <v>646.66529511633155</v>
      </c>
      <c r="BI41" s="71">
        <v>0.65681706918643612</v>
      </c>
      <c r="BJ41" s="71">
        <v>0.62717654991196647</v>
      </c>
      <c r="BK41" s="71">
        <v>0</v>
      </c>
      <c r="BL41" s="71">
        <v>0</v>
      </c>
      <c r="BM41" s="71">
        <v>0</v>
      </c>
      <c r="BN41" s="71">
        <v>0</v>
      </c>
      <c r="BO41" s="71">
        <v>0</v>
      </c>
      <c r="BP41" s="78">
        <v>0.88043784370332956</v>
      </c>
      <c r="BQ41" s="78">
        <v>7.529757252340917E-2</v>
      </c>
      <c r="BR41" s="78">
        <v>1.6625688319687977E-2</v>
      </c>
      <c r="BS41" s="78">
        <v>2.3231081689911299E-2</v>
      </c>
      <c r="BT41" s="78">
        <v>4.4078137636619618E-3</v>
      </c>
      <c r="BU41" s="78">
        <v>1</v>
      </c>
      <c r="BV41" s="71">
        <v>3.5459146848987804E-6</v>
      </c>
      <c r="BW41" s="71">
        <v>1.0647924161008206E-4</v>
      </c>
      <c r="BX41" s="71">
        <v>4.627510525379859E-3</v>
      </c>
      <c r="BY41" s="71">
        <v>1.0160540479581277E-3</v>
      </c>
      <c r="BZ41" s="71">
        <v>2.8348612439318266E-4</v>
      </c>
      <c r="CA41" s="74">
        <v>1.4946830469072856E-2</v>
      </c>
      <c r="CB41" s="52"/>
      <c r="CC41" s="52"/>
      <c r="CD41" s="52"/>
      <c r="CE41" s="66" t="s">
        <v>597</v>
      </c>
      <c r="CF41" s="75"/>
    </row>
    <row r="42" spans="1:84" x14ac:dyDescent="0.35">
      <c r="A42" s="69" t="str">
        <f t="shared" si="1"/>
        <v>Compost-P kg</v>
      </c>
      <c r="B42" s="70" t="s">
        <v>640</v>
      </c>
      <c r="C42" s="70">
        <v>1</v>
      </c>
      <c r="D42" s="70" t="s">
        <v>605</v>
      </c>
      <c r="E42" s="71">
        <v>8.9053900960750134</v>
      </c>
      <c r="F42" s="71">
        <v>0.61168917398523559</v>
      </c>
      <c r="G42" s="71">
        <v>9.4755242518639875E-7</v>
      </c>
      <c r="H42" s="71">
        <v>3.7268522405588343E-4</v>
      </c>
      <c r="I42" s="71"/>
      <c r="J42" s="71">
        <v>4.0914999473256513E-3</v>
      </c>
      <c r="K42" s="71"/>
      <c r="L42" s="71"/>
      <c r="M42" s="71"/>
      <c r="N42" s="71"/>
      <c r="O42" s="71">
        <v>1.2771671053380272E-7</v>
      </c>
      <c r="P42" s="71">
        <v>4.2156259572148151E-6</v>
      </c>
      <c r="Q42" s="71">
        <v>5.176014213073037E-6</v>
      </c>
      <c r="R42" s="71">
        <v>0</v>
      </c>
      <c r="S42" s="71">
        <v>0</v>
      </c>
      <c r="T42" s="71"/>
      <c r="U42" s="71"/>
      <c r="V42" s="71"/>
      <c r="W42" s="71"/>
      <c r="X42" s="71"/>
      <c r="Y42" s="71"/>
      <c r="Z42" s="71">
        <v>0</v>
      </c>
      <c r="AA42" s="71">
        <v>8.7035260170228606E-14</v>
      </c>
      <c r="AB42" s="71">
        <v>3.5702405522592622E-11</v>
      </c>
      <c r="AC42" s="71">
        <v>2.8343803341512334E-6</v>
      </c>
      <c r="AD42" s="71">
        <v>1.0000000004074006</v>
      </c>
      <c r="AE42" s="71">
        <v>1.5001655670905902E-6</v>
      </c>
      <c r="AF42" s="71">
        <v>0.34410425475779016</v>
      </c>
      <c r="AG42" s="71">
        <v>8.844139882289037E-9</v>
      </c>
      <c r="AH42" s="71">
        <v>-5.9761874911734342E-4</v>
      </c>
      <c r="AI42" s="71">
        <v>2.7707539042260418E-4</v>
      </c>
      <c r="AJ42" s="71">
        <v>0.66548477194711986</v>
      </c>
      <c r="AK42" s="71">
        <v>7.7813660918267837</v>
      </c>
      <c r="AL42" s="71">
        <v>0</v>
      </c>
      <c r="AM42" s="71">
        <v>0</v>
      </c>
      <c r="AN42" s="71">
        <v>0</v>
      </c>
      <c r="AO42" s="71">
        <v>0</v>
      </c>
      <c r="AP42" s="71">
        <v>0</v>
      </c>
      <c r="AQ42" s="71">
        <v>8.5624831453267602E-2</v>
      </c>
      <c r="AR42" s="71">
        <v>6.1314067492667587E-2</v>
      </c>
      <c r="AS42" s="71">
        <v>0</v>
      </c>
      <c r="AT42" s="71">
        <v>0</v>
      </c>
      <c r="AU42" s="71">
        <v>3.8956540549617537E-2</v>
      </c>
      <c r="AV42" s="71">
        <v>0.20531778890599975</v>
      </c>
      <c r="AW42" s="71">
        <v>8.6581926114434053E-11</v>
      </c>
      <c r="AX42" s="71">
        <v>0</v>
      </c>
      <c r="AY42" s="71">
        <v>0</v>
      </c>
      <c r="AZ42" s="71">
        <v>0.60024317611666722</v>
      </c>
      <c r="BA42" s="71">
        <v>0</v>
      </c>
      <c r="BB42" s="71">
        <v>0</v>
      </c>
      <c r="BC42" s="71">
        <v>6.0540874866660667E-4</v>
      </c>
      <c r="BD42" s="71">
        <v>4.0857057324139023E-8</v>
      </c>
      <c r="BE42" s="71">
        <v>3.0754950266445848E-12</v>
      </c>
      <c r="BF42" s="71">
        <v>1.574682322145235E-15</v>
      </c>
      <c r="BG42" s="71">
        <v>16402.484700258294</v>
      </c>
      <c r="BH42" s="71">
        <v>646.66529511633155</v>
      </c>
      <c r="BI42" s="71">
        <v>0.65681706918643612</v>
      </c>
      <c r="BJ42" s="71">
        <v>0.62717654991196647</v>
      </c>
      <c r="BK42" s="71">
        <v>0</v>
      </c>
      <c r="BL42" s="71">
        <v>0</v>
      </c>
      <c r="BM42" s="71">
        <v>0</v>
      </c>
      <c r="BN42" s="71">
        <v>0</v>
      </c>
      <c r="BO42" s="71">
        <v>0</v>
      </c>
      <c r="BP42" s="78">
        <v>0.88043784370332956</v>
      </c>
      <c r="BQ42" s="78">
        <v>7.529757252340917E-2</v>
      </c>
      <c r="BR42" s="78">
        <v>1.6625688319687977E-2</v>
      </c>
      <c r="BS42" s="78">
        <v>2.3231081689911299E-2</v>
      </c>
      <c r="BT42" s="78">
        <v>4.4078137636619618E-3</v>
      </c>
      <c r="BU42" s="78">
        <v>1</v>
      </c>
      <c r="BV42" s="71">
        <v>3.5459146848987804E-6</v>
      </c>
      <c r="BW42" s="71">
        <v>1.0647924161008206E-4</v>
      </c>
      <c r="BX42" s="71">
        <v>4.627510525379859E-3</v>
      </c>
      <c r="BY42" s="71">
        <v>1.0160540479581277E-3</v>
      </c>
      <c r="BZ42" s="71">
        <v>2.8348612439318266E-4</v>
      </c>
      <c r="CA42" s="74">
        <v>1.4946830469072856E-2</v>
      </c>
      <c r="CB42" s="52"/>
      <c r="CC42" s="52"/>
      <c r="CD42" s="52"/>
      <c r="CE42" s="66" t="s">
        <v>597</v>
      </c>
      <c r="CF42" s="75"/>
    </row>
    <row r="43" spans="1:84" x14ac:dyDescent="0.35">
      <c r="A43" s="69" t="str">
        <f t="shared" si="1"/>
        <v>Compost-K kg</v>
      </c>
      <c r="B43" s="70" t="s">
        <v>641</v>
      </c>
      <c r="C43" s="70">
        <v>1</v>
      </c>
      <c r="D43" s="70" t="s">
        <v>605</v>
      </c>
      <c r="E43" s="71">
        <v>8.9053900960750134</v>
      </c>
      <c r="F43" s="71">
        <v>0.61168917398523559</v>
      </c>
      <c r="G43" s="71">
        <v>9.4755242518639875E-7</v>
      </c>
      <c r="H43" s="71">
        <v>3.7268522405588343E-4</v>
      </c>
      <c r="I43" s="71"/>
      <c r="J43" s="71">
        <v>4.0914999473256513E-3</v>
      </c>
      <c r="K43" s="71"/>
      <c r="L43" s="71"/>
      <c r="M43" s="71"/>
      <c r="N43" s="71"/>
      <c r="O43" s="71">
        <v>1.2771671053380272E-7</v>
      </c>
      <c r="P43" s="71">
        <v>4.2156259572148151E-6</v>
      </c>
      <c r="Q43" s="71">
        <v>5.176014213073037E-6</v>
      </c>
      <c r="R43" s="71">
        <v>0</v>
      </c>
      <c r="S43" s="71">
        <v>0</v>
      </c>
      <c r="T43" s="71"/>
      <c r="U43" s="71"/>
      <c r="V43" s="71"/>
      <c r="W43" s="71"/>
      <c r="X43" s="71"/>
      <c r="Y43" s="71"/>
      <c r="Z43" s="71">
        <v>0</v>
      </c>
      <c r="AA43" s="71">
        <v>8.7035260170228606E-14</v>
      </c>
      <c r="AB43" s="71">
        <v>1.0000000000357023</v>
      </c>
      <c r="AC43" s="71">
        <v>2.8343803341512334E-6</v>
      </c>
      <c r="AD43" s="71">
        <v>4.0740063594521623E-10</v>
      </c>
      <c r="AE43" s="71">
        <v>1.5001655670905902E-6</v>
      </c>
      <c r="AF43" s="71">
        <v>0.34410425475779016</v>
      </c>
      <c r="AG43" s="71">
        <v>8.844139882289037E-9</v>
      </c>
      <c r="AH43" s="71">
        <v>-5.9761874911734342E-4</v>
      </c>
      <c r="AI43" s="71">
        <v>2.7707539042260418E-4</v>
      </c>
      <c r="AJ43" s="71">
        <v>0.66548477194711986</v>
      </c>
      <c r="AK43" s="71">
        <v>7.7813660918267837</v>
      </c>
      <c r="AL43" s="71">
        <v>0</v>
      </c>
      <c r="AM43" s="71">
        <v>0</v>
      </c>
      <c r="AN43" s="71">
        <v>0</v>
      </c>
      <c r="AO43" s="71">
        <v>0</v>
      </c>
      <c r="AP43" s="71">
        <v>0</v>
      </c>
      <c r="AQ43" s="71">
        <v>8.5624831453267602E-2</v>
      </c>
      <c r="AR43" s="71">
        <v>6.1314067492667587E-2</v>
      </c>
      <c r="AS43" s="71">
        <v>0</v>
      </c>
      <c r="AT43" s="71">
        <v>0</v>
      </c>
      <c r="AU43" s="71">
        <v>3.8956540549617537E-2</v>
      </c>
      <c r="AV43" s="71">
        <v>0.20531778890599975</v>
      </c>
      <c r="AW43" s="71">
        <v>8.6581926114434053E-11</v>
      </c>
      <c r="AX43" s="71">
        <v>0</v>
      </c>
      <c r="AY43" s="71">
        <v>0</v>
      </c>
      <c r="AZ43" s="71">
        <v>0.60024317611666722</v>
      </c>
      <c r="BA43" s="71">
        <v>0</v>
      </c>
      <c r="BB43" s="71">
        <v>0</v>
      </c>
      <c r="BC43" s="71">
        <v>6.0540874866660667E-4</v>
      </c>
      <c r="BD43" s="71">
        <v>4.0857057324139023E-8</v>
      </c>
      <c r="BE43" s="71">
        <v>3.0754950266445848E-12</v>
      </c>
      <c r="BF43" s="71">
        <v>1.574682322145235E-15</v>
      </c>
      <c r="BG43" s="71">
        <v>16402.484700258294</v>
      </c>
      <c r="BH43" s="71">
        <v>646.66529511633155</v>
      </c>
      <c r="BI43" s="71">
        <v>0.65681706918643612</v>
      </c>
      <c r="BJ43" s="71">
        <v>0.62717654991196647</v>
      </c>
      <c r="BK43" s="71">
        <v>0</v>
      </c>
      <c r="BL43" s="71">
        <v>0</v>
      </c>
      <c r="BM43" s="71">
        <v>0</v>
      </c>
      <c r="BN43" s="71">
        <v>0</v>
      </c>
      <c r="BO43" s="71">
        <v>0</v>
      </c>
      <c r="BP43" s="78">
        <v>0.88043784370332956</v>
      </c>
      <c r="BQ43" s="78">
        <v>7.529757252340917E-2</v>
      </c>
      <c r="BR43" s="78">
        <v>1.6625688319687977E-2</v>
      </c>
      <c r="BS43" s="78">
        <v>2.3231081689911299E-2</v>
      </c>
      <c r="BT43" s="78">
        <v>4.4078137636619618E-3</v>
      </c>
      <c r="BU43" s="78">
        <v>1</v>
      </c>
      <c r="BV43" s="71">
        <v>3.5459146848987804E-6</v>
      </c>
      <c r="BW43" s="71">
        <v>1.0647924161008206E-4</v>
      </c>
      <c r="BX43" s="71">
        <v>4.627510525379859E-3</v>
      </c>
      <c r="BY43" s="71">
        <v>1.0160540479581277E-3</v>
      </c>
      <c r="BZ43" s="71">
        <v>2.8348612439318266E-4</v>
      </c>
      <c r="CA43" s="74">
        <v>1.4946830469072856E-2</v>
      </c>
      <c r="CB43" s="52"/>
      <c r="CC43" s="52"/>
      <c r="CD43" s="52"/>
      <c r="CE43" s="66" t="s">
        <v>597</v>
      </c>
      <c r="CF43" s="75"/>
    </row>
    <row r="44" spans="1:84" x14ac:dyDescent="0.35">
      <c r="A44" s="69" t="str">
        <f t="shared" si="1"/>
        <v>Compost-S kg</v>
      </c>
      <c r="B44" s="70" t="s">
        <v>642</v>
      </c>
      <c r="C44" s="70">
        <v>1</v>
      </c>
      <c r="D44" s="70" t="s">
        <v>605</v>
      </c>
      <c r="E44" s="71">
        <v>8.9053900960750134</v>
      </c>
      <c r="F44" s="71">
        <v>0.61168917398523559</v>
      </c>
      <c r="G44" s="71">
        <v>9.4755242518639875E-7</v>
      </c>
      <c r="H44" s="71">
        <v>3.7268522405588343E-4</v>
      </c>
      <c r="I44" s="71"/>
      <c r="J44" s="71">
        <v>4.365099947325651E-3</v>
      </c>
      <c r="K44" s="71"/>
      <c r="L44" s="71"/>
      <c r="M44" s="71"/>
      <c r="N44" s="71"/>
      <c r="O44" s="71">
        <v>1.2771671053380272E-7</v>
      </c>
      <c r="P44" s="71">
        <v>4.2156259572148151E-6</v>
      </c>
      <c r="Q44" s="71">
        <v>5.176014213073037E-6</v>
      </c>
      <c r="R44" s="71">
        <v>0</v>
      </c>
      <c r="S44" s="71">
        <v>0</v>
      </c>
      <c r="T44" s="71"/>
      <c r="U44" s="71"/>
      <c r="V44" s="71"/>
      <c r="W44" s="71"/>
      <c r="X44" s="71"/>
      <c r="Y44" s="71"/>
      <c r="Z44" s="71">
        <v>0</v>
      </c>
      <c r="AA44" s="71">
        <v>8.7035260170228606E-14</v>
      </c>
      <c r="AB44" s="71">
        <v>3.5702405522592622E-11</v>
      </c>
      <c r="AC44" s="71">
        <v>2.8343803341512334E-6</v>
      </c>
      <c r="AD44" s="71">
        <v>4.0740063594521623E-10</v>
      </c>
      <c r="AE44" s="71">
        <v>1.0000015001655671</v>
      </c>
      <c r="AF44" s="71">
        <v>0.34410425475779016</v>
      </c>
      <c r="AG44" s="71">
        <v>8.844139882289037E-9</v>
      </c>
      <c r="AH44" s="71">
        <v>-5.9761874911734342E-4</v>
      </c>
      <c r="AI44" s="71">
        <v>2.7707539042260418E-4</v>
      </c>
      <c r="AJ44" s="71">
        <v>0.66548477194711986</v>
      </c>
      <c r="AK44" s="71">
        <v>7.7813660918267837</v>
      </c>
      <c r="AL44" s="71">
        <v>0</v>
      </c>
      <c r="AM44" s="71">
        <v>0</v>
      </c>
      <c r="AN44" s="71">
        <v>0</v>
      </c>
      <c r="AO44" s="71">
        <v>0</v>
      </c>
      <c r="AP44" s="71">
        <v>0</v>
      </c>
      <c r="AQ44" s="71">
        <v>8.5624831453267602E-2</v>
      </c>
      <c r="AR44" s="71">
        <v>6.1314067492667587E-2</v>
      </c>
      <c r="AS44" s="71">
        <v>0</v>
      </c>
      <c r="AT44" s="71">
        <v>0</v>
      </c>
      <c r="AU44" s="71">
        <v>3.8956540549617537E-2</v>
      </c>
      <c r="AV44" s="71">
        <v>0.20531778890599975</v>
      </c>
      <c r="AW44" s="71">
        <v>8.6581926114434053E-11</v>
      </c>
      <c r="AX44" s="71">
        <v>0</v>
      </c>
      <c r="AY44" s="71">
        <v>0</v>
      </c>
      <c r="AZ44" s="71">
        <v>0.60024317611666722</v>
      </c>
      <c r="BA44" s="71">
        <v>0</v>
      </c>
      <c r="BB44" s="71">
        <v>0</v>
      </c>
      <c r="BC44" s="71">
        <v>6.0540874866660667E-4</v>
      </c>
      <c r="BD44" s="71">
        <v>4.0857057324139023E-8</v>
      </c>
      <c r="BE44" s="71">
        <v>3.0754950266445848E-12</v>
      </c>
      <c r="BF44" s="71">
        <v>1.574682322145235E-15</v>
      </c>
      <c r="BG44" s="71">
        <v>16402.484700258294</v>
      </c>
      <c r="BH44" s="71">
        <v>646.66529511633155</v>
      </c>
      <c r="BI44" s="71">
        <v>0.65681706918643612</v>
      </c>
      <c r="BJ44" s="71">
        <v>0.62717654991196647</v>
      </c>
      <c r="BK44" s="71">
        <v>0</v>
      </c>
      <c r="BL44" s="71">
        <v>0</v>
      </c>
      <c r="BM44" s="71">
        <v>0</v>
      </c>
      <c r="BN44" s="71">
        <v>0</v>
      </c>
      <c r="BO44" s="71">
        <v>0</v>
      </c>
      <c r="BP44" s="78">
        <v>0.88043784370332956</v>
      </c>
      <c r="BQ44" s="78">
        <v>7.529757252340917E-2</v>
      </c>
      <c r="BR44" s="78">
        <v>1.6625688319687977E-2</v>
      </c>
      <c r="BS44" s="78">
        <v>2.3231081689911299E-2</v>
      </c>
      <c r="BT44" s="78">
        <v>4.4078137636619618E-3</v>
      </c>
      <c r="BU44" s="78">
        <v>1</v>
      </c>
      <c r="BV44" s="71">
        <v>3.5459146848987804E-6</v>
      </c>
      <c r="BW44" s="71">
        <v>1.0647924161008206E-4</v>
      </c>
      <c r="BX44" s="71">
        <v>4.627510525379859E-3</v>
      </c>
      <c r="BY44" s="71">
        <v>1.0160540479581277E-3</v>
      </c>
      <c r="BZ44" s="71">
        <v>2.8348612439318266E-4</v>
      </c>
      <c r="CA44" s="74">
        <v>1.4946830469072856E-2</v>
      </c>
      <c r="CB44" s="52"/>
      <c r="CC44" s="52"/>
      <c r="CD44" s="52"/>
      <c r="CE44" s="66" t="s">
        <v>597</v>
      </c>
      <c r="CF44" s="75"/>
    </row>
    <row r="45" spans="1:84" x14ac:dyDescent="0.35">
      <c r="A45" s="69" t="str">
        <f>B45&amp;" "&amp;D45</f>
        <v>Pesticide mean A.I. kg</v>
      </c>
      <c r="B45" s="71" t="s">
        <v>643</v>
      </c>
      <c r="C45" s="52">
        <v>1</v>
      </c>
      <c r="D45" s="52" t="s">
        <v>605</v>
      </c>
      <c r="E45" s="71">
        <v>278.03846219325675</v>
      </c>
      <c r="F45" s="71">
        <v>18.584596425950036</v>
      </c>
      <c r="G45" s="79">
        <v>1.1887876671735742E-3</v>
      </c>
      <c r="H45" s="79">
        <v>0.11995296718681384</v>
      </c>
      <c r="I45" s="79">
        <f>1/0.65</f>
        <v>1.5384615384615383</v>
      </c>
      <c r="J45" s="79">
        <v>9.9116710248279047E-2</v>
      </c>
      <c r="K45" s="79">
        <v>0</v>
      </c>
      <c r="L45" s="79">
        <v>0</v>
      </c>
      <c r="M45" s="79">
        <v>0</v>
      </c>
      <c r="N45" s="79">
        <v>0</v>
      </c>
      <c r="O45" s="79">
        <v>1.4482551996408432E-5</v>
      </c>
      <c r="P45" s="79">
        <v>4.7088853786017783E-5</v>
      </c>
      <c r="Q45" s="79">
        <v>1.6417769291106142E-4</v>
      </c>
      <c r="R45" s="79">
        <v>0</v>
      </c>
      <c r="S45" s="79">
        <v>3.9192986559243723E-5</v>
      </c>
      <c r="T45" s="71"/>
      <c r="U45" s="71"/>
      <c r="V45" s="79"/>
      <c r="W45" s="79"/>
      <c r="X45" s="79"/>
      <c r="Y45" s="79"/>
      <c r="Z45" s="79">
        <v>5.6425350555095295E-7</v>
      </c>
      <c r="AA45" s="79">
        <v>3.9155052292689568E-3</v>
      </c>
      <c r="AB45" s="79">
        <v>9.4907802625484704E-10</v>
      </c>
      <c r="AC45" s="79">
        <v>3.0242289148673301E-4</v>
      </c>
      <c r="AD45" s="79">
        <v>2.1155568985823367E-6</v>
      </c>
      <c r="AE45" s="79">
        <v>4.5179832874005036E-5</v>
      </c>
      <c r="AF45" s="79">
        <v>44.666002355735202</v>
      </c>
      <c r="AG45" s="79">
        <v>5.1520728997122796E-6</v>
      </c>
      <c r="AH45" s="79">
        <v>7.2626790238961786E-3</v>
      </c>
      <c r="AI45" s="79">
        <v>1.4876668213292109E-2</v>
      </c>
      <c r="AJ45" s="79">
        <v>83.349089604677133</v>
      </c>
      <c r="AK45" s="79">
        <v>117.79143215204829</v>
      </c>
      <c r="AL45" s="79">
        <v>0</v>
      </c>
      <c r="AM45" s="79">
        <v>0</v>
      </c>
      <c r="AN45" s="79">
        <v>0</v>
      </c>
      <c r="AO45" s="79">
        <v>0</v>
      </c>
      <c r="AP45" s="79">
        <v>0</v>
      </c>
      <c r="AQ45" s="79">
        <v>32.650647423867888</v>
      </c>
      <c r="AR45" s="79">
        <v>0.727954639994287</v>
      </c>
      <c r="AS45" s="79">
        <v>0</v>
      </c>
      <c r="AT45" s="79">
        <v>0</v>
      </c>
      <c r="AU45" s="79">
        <v>2.0863377705319577</v>
      </c>
      <c r="AV45" s="79">
        <v>33.923128844130758</v>
      </c>
      <c r="AW45" s="79">
        <v>1.1030193092564563E-6</v>
      </c>
      <c r="AX45" s="79">
        <v>0</v>
      </c>
      <c r="AY45" s="79">
        <v>5.8045089476832751E-4</v>
      </c>
      <c r="AZ45" s="79">
        <v>18.275237716948453</v>
      </c>
      <c r="BA45" s="79">
        <v>0</v>
      </c>
      <c r="BB45" s="79">
        <v>0</v>
      </c>
      <c r="BC45" s="79">
        <v>3.1993348765603849E-2</v>
      </c>
      <c r="BD45" s="79">
        <v>9.2793332767182019E-5</v>
      </c>
      <c r="BE45" s="79">
        <v>3.0468281108825417E-9</v>
      </c>
      <c r="BF45" s="79">
        <v>2.2461545571571928E-13</v>
      </c>
      <c r="BG45" s="79">
        <v>2632658.4557107948</v>
      </c>
      <c r="BH45" s="79">
        <v>103796.31537757844</v>
      </c>
      <c r="BI45" s="79">
        <v>20.678289460159814</v>
      </c>
      <c r="BJ45" s="79">
        <v>19.199575346870468</v>
      </c>
      <c r="BK45" s="79">
        <v>1.0505735808314749E-3</v>
      </c>
      <c r="BL45" s="79">
        <v>1.4267987186479864E-2</v>
      </c>
      <c r="BM45" s="79">
        <v>0</v>
      </c>
      <c r="BN45" s="79">
        <v>0</v>
      </c>
      <c r="BO45" s="79">
        <v>0</v>
      </c>
      <c r="BP45" s="78">
        <v>0.43541213874117712</v>
      </c>
      <c r="BQ45" s="78">
        <v>0.30809715701611334</v>
      </c>
      <c r="BR45" s="78">
        <v>0.12338290015912821</v>
      </c>
      <c r="BS45" s="78">
        <v>0.12539572541871538</v>
      </c>
      <c r="BT45" s="78">
        <v>7.7120786648659694E-3</v>
      </c>
      <c r="BU45" s="78">
        <v>1</v>
      </c>
      <c r="BV45" s="79">
        <v>4.4196082589922529E-4</v>
      </c>
      <c r="BW45" s="79">
        <v>1.8498782733148849E-3</v>
      </c>
      <c r="BX45" s="79">
        <v>1.4864912131626095E-2</v>
      </c>
      <c r="BY45" s="79">
        <v>3.8953315122610111E-3</v>
      </c>
      <c r="BZ45" s="79">
        <v>2.2265521459034349E-3</v>
      </c>
      <c r="CA45" s="78">
        <v>2.4803591603937106E-3</v>
      </c>
      <c r="CB45" s="52"/>
      <c r="CC45" s="52"/>
      <c r="CD45" s="52"/>
      <c r="CE45" s="66" t="s">
        <v>597</v>
      </c>
      <c r="CF45" s="72"/>
    </row>
  </sheetData>
  <pageMargins left="0.7" right="0.7" top="0.75" bottom="0.75" header="0.3" footer="0.3"/>
  <pageSetup paperSize="9" orientation="portrait" r:id="rId1"/>
  <headerFooter>
    <oddFooter>&amp;L&amp;11&amp;Z&amp;F   &amp;A  Page &amp;P of &amp;N  &amp;D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90"/>
  <sheetViews>
    <sheetView topLeftCell="A28" zoomScale="110" zoomScaleNormal="110" workbookViewId="0">
      <selection activeCell="A10" sqref="A10"/>
    </sheetView>
  </sheetViews>
  <sheetFormatPr defaultRowHeight="14.5" x14ac:dyDescent="0.35"/>
  <cols>
    <col min="1" max="1" width="56.81640625" customWidth="1"/>
    <col min="2" max="2" width="12" bestFit="1" customWidth="1"/>
    <col min="3" max="3" width="12" customWidth="1"/>
    <col min="4" max="4" width="11.81640625" customWidth="1"/>
    <col min="5" max="5" width="9.90625" bestFit="1" customWidth="1"/>
    <col min="6" max="8" width="12" customWidth="1"/>
    <col min="10" max="10" width="9.453125" bestFit="1" customWidth="1"/>
    <col min="11" max="11" width="20" customWidth="1"/>
    <col min="12" max="12" width="9.453125" bestFit="1" customWidth="1"/>
    <col min="26" max="26" width="11" bestFit="1" customWidth="1"/>
  </cols>
  <sheetData>
    <row r="1" spans="1:8" x14ac:dyDescent="0.35">
      <c r="A1" s="27"/>
    </row>
    <row r="2" spans="1:8" x14ac:dyDescent="0.35">
      <c r="A2" s="343" t="s">
        <v>660</v>
      </c>
      <c r="B2" s="9" t="s">
        <v>0</v>
      </c>
      <c r="C2" s="200"/>
    </row>
    <row r="3" spans="1:8" x14ac:dyDescent="0.35">
      <c r="B3" s="9" t="s">
        <v>1</v>
      </c>
      <c r="C3" s="199"/>
    </row>
    <row r="5" spans="1:8" x14ac:dyDescent="0.35">
      <c r="A5" s="273" t="s">
        <v>2</v>
      </c>
      <c r="B5" s="11"/>
      <c r="C5" s="11"/>
      <c r="D5" s="11"/>
    </row>
    <row r="6" spans="1:8" ht="44.15" customHeight="1" thickBot="1" x14ac:dyDescent="0.4">
      <c r="A6" s="522" t="s">
        <v>3</v>
      </c>
      <c r="B6" s="231" t="s">
        <v>4</v>
      </c>
      <c r="C6" s="231" t="s">
        <v>5</v>
      </c>
      <c r="D6" s="231" t="s">
        <v>6</v>
      </c>
      <c r="E6" s="231" t="s">
        <v>7</v>
      </c>
    </row>
    <row r="7" spans="1:8" ht="15" thickTop="1" x14ac:dyDescent="0.35">
      <c r="A7" s="523"/>
      <c r="B7" s="524" t="s">
        <v>8</v>
      </c>
      <c r="C7" s="525"/>
      <c r="D7" s="525"/>
      <c r="E7" s="525"/>
    </row>
    <row r="8" spans="1:8" s="9" customFormat="1" ht="14.5" customHeight="1" x14ac:dyDescent="0.35">
      <c r="A8" s="170" t="s">
        <v>9</v>
      </c>
      <c r="B8" s="135"/>
      <c r="C8" s="135"/>
      <c r="D8" s="135"/>
      <c r="E8" s="232"/>
      <c r="F8"/>
      <c r="G8"/>
      <c r="H8"/>
    </row>
    <row r="9" spans="1:8" s="9" customFormat="1" ht="14.5" customHeight="1" x14ac:dyDescent="0.35">
      <c r="A9" s="166" t="s">
        <v>10</v>
      </c>
      <c r="B9" s="228">
        <f>Results!D8</f>
        <v>492.88717269559163</v>
      </c>
      <c r="C9" s="228">
        <f>Results!E8*GWP_CH4</f>
        <v>1.7276101391363186</v>
      </c>
      <c r="D9" s="228">
        <f>Results!F8*GWP_N2O</f>
        <v>1744.7902621866185</v>
      </c>
      <c r="E9" s="233">
        <f>SUM(B9:D9)</f>
        <v>2239.4050450213463</v>
      </c>
      <c r="F9"/>
      <c r="G9"/>
      <c r="H9"/>
    </row>
    <row r="10" spans="1:8" s="9" customFormat="1" ht="14.5" customHeight="1" x14ac:dyDescent="0.35">
      <c r="A10" s="166" t="s">
        <v>11</v>
      </c>
      <c r="B10" s="228">
        <f>Results!D9</f>
        <v>492.88717269559163</v>
      </c>
      <c r="C10" s="228">
        <f>Results!E9*GWP_CH4</f>
        <v>1.7276101391363186</v>
      </c>
      <c r="D10" s="228">
        <f>Results!F9*GWP_N2O</f>
        <v>1744.7902621866185</v>
      </c>
      <c r="E10" s="234">
        <f t="shared" ref="E10:E22" si="0">SUM(B10:D10)</f>
        <v>2239.4050450213463</v>
      </c>
      <c r="F10"/>
      <c r="G10"/>
      <c r="H10"/>
    </row>
    <row r="11" spans="1:8" s="9" customFormat="1" ht="14.5" customHeight="1" x14ac:dyDescent="0.35">
      <c r="A11" s="166" t="s">
        <v>12</v>
      </c>
      <c r="B11" s="228">
        <f>Results!D10</f>
        <v>253.88066343890128</v>
      </c>
      <c r="C11" s="228">
        <f>Results!E10*GWP_CH4</f>
        <v>0.88987263736032696</v>
      </c>
      <c r="D11" s="228">
        <f>Results!F10*GWP_N2O</f>
        <v>898.72192636518798</v>
      </c>
      <c r="E11" s="234">
        <f t="shared" si="0"/>
        <v>1153.4924624414496</v>
      </c>
      <c r="F11"/>
      <c r="G11"/>
      <c r="H11"/>
    </row>
    <row r="12" spans="1:8" s="9" customFormat="1" ht="14.5" customHeight="1" x14ac:dyDescent="0.35">
      <c r="A12" s="166" t="s">
        <v>13</v>
      </c>
      <c r="B12" s="228">
        <f>Results!D11</f>
        <v>1236.1763769047595</v>
      </c>
      <c r="C12" s="228">
        <f>Results!E11*GWP_CH4</f>
        <v>4.3329000242017512</v>
      </c>
      <c r="D12" s="228">
        <f>Results!F11*GWP_N2O</f>
        <v>4375.9883077757568</v>
      </c>
      <c r="E12" s="234">
        <f t="shared" si="0"/>
        <v>5616.4975847047181</v>
      </c>
      <c r="F12"/>
      <c r="G12"/>
      <c r="H12"/>
    </row>
    <row r="13" spans="1:8" s="9" customFormat="1" ht="14.5" customHeight="1" x14ac:dyDescent="0.35">
      <c r="A13" s="166" t="s">
        <v>14</v>
      </c>
      <c r="B13" s="228">
        <f>Results!D12</f>
        <v>494.09074770679871</v>
      </c>
      <c r="C13" s="228">
        <f>Results!E12*GWP_CH4</f>
        <v>1.7318287686883937</v>
      </c>
      <c r="D13" s="228">
        <f>Results!F12*GWP_N2O</f>
        <v>1749.0508436659061</v>
      </c>
      <c r="E13" s="234">
        <f t="shared" si="0"/>
        <v>2244.8734201413931</v>
      </c>
      <c r="F13"/>
      <c r="G13"/>
      <c r="H13"/>
    </row>
    <row r="14" spans="1:8" s="9" customFormat="1" ht="14.5" customHeight="1" x14ac:dyDescent="0.35">
      <c r="A14" s="166" t="s">
        <v>15</v>
      </c>
      <c r="B14" s="228">
        <f>Results!D13</f>
        <v>422.82199037555813</v>
      </c>
      <c r="C14" s="228">
        <f>Results!E13*GWP_CH4</f>
        <v>1.4820259038750725</v>
      </c>
      <c r="D14" s="228">
        <f>Results!F13*GWP_N2O</f>
        <v>1496.7638281413856</v>
      </c>
      <c r="E14" s="234">
        <f t="shared" si="0"/>
        <v>1921.0678444208188</v>
      </c>
      <c r="F14"/>
      <c r="G14"/>
      <c r="H14"/>
    </row>
    <row r="15" spans="1:8" s="9" customFormat="1" ht="14.5" customHeight="1" x14ac:dyDescent="0.35">
      <c r="A15" s="166" t="s">
        <v>16</v>
      </c>
      <c r="B15" s="228">
        <f>Results!D14</f>
        <v>81.868501752631587</v>
      </c>
      <c r="C15" s="228">
        <f>Results!E14*GWP_CH4</f>
        <v>0.28695584210526315</v>
      </c>
      <c r="D15" s="228">
        <f>Results!F14*GWP_N2O</f>
        <v>289.80945853508769</v>
      </c>
      <c r="E15" s="234">
        <f t="shared" si="0"/>
        <v>371.96491612982453</v>
      </c>
      <c r="F15"/>
      <c r="G15"/>
      <c r="H15"/>
    </row>
    <row r="16" spans="1:8" x14ac:dyDescent="0.35">
      <c r="A16" s="166" t="s">
        <v>17</v>
      </c>
      <c r="B16" s="228">
        <f>Results!D15</f>
        <v>232.07958042840562</v>
      </c>
      <c r="C16" s="228">
        <f>Results!E15*GWP_CH4</f>
        <v>0.81345804566563484</v>
      </c>
      <c r="D16" s="228">
        <f>Results!F15*GWP_N2O</f>
        <v>821.54743400864311</v>
      </c>
      <c r="E16" s="234">
        <f t="shared" si="0"/>
        <v>1054.4404724827143</v>
      </c>
    </row>
    <row r="17" spans="1:8" x14ac:dyDescent="0.35">
      <c r="A17" s="166" t="s">
        <v>18</v>
      </c>
      <c r="B17" s="228">
        <f>Results!D16</f>
        <v>422.82199037555813</v>
      </c>
      <c r="C17" s="228">
        <f>Results!E16*GWP_CH4</f>
        <v>1.4820259038750725</v>
      </c>
      <c r="D17" s="228">
        <f>Results!F16*GWP_N2O</f>
        <v>1496.7638281413856</v>
      </c>
      <c r="E17" s="234">
        <f t="shared" si="0"/>
        <v>1921.0678444208188</v>
      </c>
    </row>
    <row r="18" spans="1:8" x14ac:dyDescent="0.35">
      <c r="A18" s="166" t="s">
        <v>19</v>
      </c>
      <c r="B18" s="228">
        <f>Results!D17</f>
        <v>128.52222554605265</v>
      </c>
      <c r="C18" s="228">
        <f>Results!E17*GWP_CH4</f>
        <v>0.4504809868421053</v>
      </c>
      <c r="D18" s="228">
        <f>Results!F17*GWP_N2O</f>
        <v>454.9607699890351</v>
      </c>
      <c r="E18" s="234">
        <f t="shared" si="0"/>
        <v>583.93347652192983</v>
      </c>
    </row>
    <row r="19" spans="1:8" x14ac:dyDescent="0.35">
      <c r="A19" s="166" t="s">
        <v>20</v>
      </c>
      <c r="B19" s="228">
        <f>Results!D18</f>
        <v>494.5732974410754</v>
      </c>
      <c r="C19" s="228">
        <f>Results!E18*GWP_CH4</f>
        <v>1.7335201452543827</v>
      </c>
      <c r="D19" s="228">
        <f>Results!F18*GWP_N2O</f>
        <v>1750.7590400321901</v>
      </c>
      <c r="E19" s="234">
        <f t="shared" si="0"/>
        <v>2247.0658576185197</v>
      </c>
    </row>
    <row r="20" spans="1:8" x14ac:dyDescent="0.35">
      <c r="A20" s="166" t="s">
        <v>21</v>
      </c>
      <c r="B20" s="228">
        <f>Results!D19</f>
        <v>176.14263514129127</v>
      </c>
      <c r="C20" s="228">
        <f>Results!E19*GWP_CH4</f>
        <v>0.61739444493968199</v>
      </c>
      <c r="D20" s="228">
        <f>Results!F19*GWP_N2O</f>
        <v>623.53408969769316</v>
      </c>
      <c r="E20" s="234">
        <f t="shared" si="0"/>
        <v>800.29411928392415</v>
      </c>
    </row>
    <row r="21" spans="1:8" x14ac:dyDescent="0.35">
      <c r="A21" s="166" t="s">
        <v>22</v>
      </c>
      <c r="B21" s="228">
        <f>Results!D20</f>
        <v>382.41078195702283</v>
      </c>
      <c r="C21" s="228">
        <f>Results!E20*GWP_CH4</f>
        <v>1.3403812897196736</v>
      </c>
      <c r="D21" s="228">
        <f>Results!F20*GWP_N2O</f>
        <v>1353.7106369896637</v>
      </c>
      <c r="E21" s="234">
        <f t="shared" si="0"/>
        <v>1737.4618002364064</v>
      </c>
    </row>
    <row r="22" spans="1:8" x14ac:dyDescent="0.35">
      <c r="A22" s="168" t="s">
        <v>23</v>
      </c>
      <c r="B22" s="228">
        <f>Results!D21</f>
        <v>176.14263514129127</v>
      </c>
      <c r="C22" s="228">
        <f>Results!E21*GWP_CH4</f>
        <v>0.61739444493968199</v>
      </c>
      <c r="D22" s="228">
        <f>Results!F21*GWP_N2O</f>
        <v>623.53408969769316</v>
      </c>
      <c r="E22" s="235">
        <f t="shared" si="0"/>
        <v>800.29411928392415</v>
      </c>
    </row>
    <row r="23" spans="1:8" x14ac:dyDescent="0.35">
      <c r="A23" s="170" t="s">
        <v>24</v>
      </c>
      <c r="B23" s="221"/>
      <c r="C23" s="135"/>
      <c r="D23" s="135"/>
    </row>
    <row r="24" spans="1:8" x14ac:dyDescent="0.35">
      <c r="A24" s="171" t="s">
        <v>25</v>
      </c>
      <c r="B24" s="172"/>
      <c r="C24" s="172"/>
      <c r="D24" s="172"/>
    </row>
    <row r="25" spans="1:8" x14ac:dyDescent="0.35">
      <c r="A25" s="122" t="s">
        <v>26</v>
      </c>
      <c r="B25" s="222">
        <f>Results!N48</f>
        <v>0</v>
      </c>
      <c r="C25" s="173" t="s">
        <v>27</v>
      </c>
      <c r="D25" s="173" t="s">
        <v>27</v>
      </c>
    </row>
    <row r="26" spans="1:8" x14ac:dyDescent="0.35">
      <c r="A26" s="144" t="s">
        <v>28</v>
      </c>
      <c r="B26" s="129">
        <f>Results!N49</f>
        <v>0</v>
      </c>
      <c r="C26" s="131" t="s">
        <v>27</v>
      </c>
      <c r="D26" s="131" t="s">
        <v>27</v>
      </c>
    </row>
    <row r="27" spans="1:8" x14ac:dyDescent="0.35">
      <c r="A27" s="144" t="s">
        <v>29</v>
      </c>
      <c r="B27" s="129">
        <f>Results!N50</f>
        <v>0</v>
      </c>
      <c r="C27" s="131" t="s">
        <v>27</v>
      </c>
      <c r="D27" s="131" t="s">
        <v>27</v>
      </c>
    </row>
    <row r="28" spans="1:8" x14ac:dyDescent="0.35">
      <c r="A28" s="123" t="s">
        <v>30</v>
      </c>
      <c r="B28" s="130">
        <f>Results!N51</f>
        <v>0</v>
      </c>
      <c r="C28" s="132" t="s">
        <v>27</v>
      </c>
      <c r="D28" s="132" t="s">
        <v>27</v>
      </c>
    </row>
    <row r="29" spans="1:8" x14ac:dyDescent="0.35">
      <c r="A29" s="171" t="s">
        <v>31</v>
      </c>
      <c r="B29" s="172"/>
      <c r="C29" s="172"/>
      <c r="D29" s="172"/>
      <c r="H29" s="14"/>
    </row>
    <row r="30" spans="1:8" x14ac:dyDescent="0.35">
      <c r="A30" s="122" t="s">
        <v>26</v>
      </c>
      <c r="B30" s="245">
        <f>Results!N58*1000</f>
        <v>-1446.2962962962961</v>
      </c>
      <c r="C30" s="173" t="s">
        <v>27</v>
      </c>
      <c r="D30" s="173" t="s">
        <v>27</v>
      </c>
      <c r="H30" s="14"/>
    </row>
    <row r="31" spans="1:8" x14ac:dyDescent="0.35">
      <c r="A31" s="144" t="s">
        <v>28</v>
      </c>
      <c r="B31" s="246">
        <f>Results!N59*1000</f>
        <v>-3590.8365758754853</v>
      </c>
      <c r="C31" s="131" t="s">
        <v>27</v>
      </c>
      <c r="D31" s="131" t="s">
        <v>27</v>
      </c>
      <c r="H31" s="14"/>
    </row>
    <row r="32" spans="1:8" x14ac:dyDescent="0.35">
      <c r="A32" s="144" t="s">
        <v>663</v>
      </c>
      <c r="B32" s="246">
        <f>Results!N60*1000</f>
        <v>-9852.9913854166643</v>
      </c>
      <c r="C32" s="131" t="s">
        <v>27</v>
      </c>
      <c r="D32" s="131" t="s">
        <v>27</v>
      </c>
      <c r="H32" s="14"/>
    </row>
    <row r="33" spans="1:8" x14ac:dyDescent="0.35">
      <c r="A33" s="144" t="s">
        <v>664</v>
      </c>
      <c r="B33" s="246">
        <f>Results!N61*1000</f>
        <v>-640.44444005208322</v>
      </c>
      <c r="C33" s="131"/>
      <c r="D33" s="131"/>
      <c r="H33" s="14"/>
    </row>
    <row r="34" spans="1:8" x14ac:dyDescent="0.35">
      <c r="A34" s="123" t="s">
        <v>30</v>
      </c>
      <c r="B34" s="246">
        <f>Results!N62*1000</f>
        <v>-1371.0015337423315</v>
      </c>
      <c r="C34" s="132" t="s">
        <v>27</v>
      </c>
      <c r="D34" s="132" t="s">
        <v>27</v>
      </c>
      <c r="H34" s="14"/>
    </row>
    <row r="35" spans="1:8" x14ac:dyDescent="0.35">
      <c r="A35" s="171" t="s">
        <v>32</v>
      </c>
      <c r="B35" s="172"/>
      <c r="C35" s="172"/>
      <c r="D35" s="172"/>
      <c r="H35" s="14"/>
    </row>
    <row r="36" spans="1:8" x14ac:dyDescent="0.35">
      <c r="A36" s="122" t="s">
        <v>33</v>
      </c>
      <c r="B36" s="222">
        <f>Results!N69</f>
        <v>0</v>
      </c>
      <c r="C36" s="173" t="s">
        <v>27</v>
      </c>
      <c r="D36" s="173" t="s">
        <v>27</v>
      </c>
      <c r="H36" s="14"/>
    </row>
    <row r="37" spans="1:8" x14ac:dyDescent="0.35">
      <c r="A37" s="123" t="s">
        <v>34</v>
      </c>
      <c r="B37" s="247">
        <f>Results!N70*1000</f>
        <v>-2284.5093333333361</v>
      </c>
      <c r="C37" s="132" t="s">
        <v>27</v>
      </c>
      <c r="D37" s="132" t="s">
        <v>27</v>
      </c>
      <c r="H37" s="14"/>
    </row>
    <row r="38" spans="1:8" x14ac:dyDescent="0.35">
      <c r="A38" s="171" t="s">
        <v>35</v>
      </c>
      <c r="B38" s="121"/>
      <c r="C38" s="132"/>
      <c r="D38" s="132"/>
      <c r="H38" s="14"/>
    </row>
    <row r="39" spans="1:8" x14ac:dyDescent="0.35">
      <c r="A39" s="157" t="s">
        <v>36</v>
      </c>
      <c r="B39" s="244">
        <f>Results!N77*1000</f>
        <v>2509.8333333333335</v>
      </c>
      <c r="C39" s="173" t="s">
        <v>27</v>
      </c>
      <c r="D39" s="173" t="s">
        <v>27</v>
      </c>
      <c r="F39" s="243"/>
      <c r="H39" s="14"/>
    </row>
    <row r="40" spans="1:8" x14ac:dyDescent="0.35">
      <c r="A40" s="145" t="s">
        <v>37</v>
      </c>
      <c r="B40" s="228">
        <f>Results!N78*1000</f>
        <v>2509.8333333333335</v>
      </c>
      <c r="C40" s="131" t="s">
        <v>27</v>
      </c>
      <c r="D40" s="131" t="s">
        <v>27</v>
      </c>
      <c r="F40" s="243"/>
      <c r="H40" s="14"/>
    </row>
    <row r="41" spans="1:8" x14ac:dyDescent="0.35">
      <c r="A41" s="145" t="s">
        <v>38</v>
      </c>
      <c r="B41" s="228">
        <f>Results!N79*1000</f>
        <v>2509.8333333333344</v>
      </c>
      <c r="C41" s="131" t="s">
        <v>27</v>
      </c>
      <c r="D41" s="131" t="s">
        <v>27</v>
      </c>
      <c r="F41" s="243"/>
      <c r="H41" s="14"/>
    </row>
    <row r="42" spans="1:8" x14ac:dyDescent="0.35">
      <c r="A42" s="149" t="s">
        <v>39</v>
      </c>
      <c r="B42" s="228">
        <f>Results!N80*1000</f>
        <v>2509.833333333333</v>
      </c>
      <c r="C42" s="132" t="s">
        <v>27</v>
      </c>
      <c r="D42" s="132" t="s">
        <v>27</v>
      </c>
      <c r="F42" s="243"/>
      <c r="H42" s="14"/>
    </row>
    <row r="43" spans="1:8" x14ac:dyDescent="0.35">
      <c r="A43" s="145" t="s">
        <v>40</v>
      </c>
      <c r="B43" s="244">
        <f>Results!N81*1000</f>
        <v>288.96999999999997</v>
      </c>
      <c r="C43" s="173" t="s">
        <v>27</v>
      </c>
      <c r="D43" s="173" t="s">
        <v>27</v>
      </c>
      <c r="F43" s="243"/>
      <c r="H43" s="14"/>
    </row>
    <row r="44" spans="1:8" x14ac:dyDescent="0.35">
      <c r="A44" s="145" t="s">
        <v>41</v>
      </c>
      <c r="B44" s="228">
        <f>Results!N82*1000</f>
        <v>1890.3454166666668</v>
      </c>
      <c r="C44" s="131" t="s">
        <v>27</v>
      </c>
      <c r="D44" s="131" t="s">
        <v>27</v>
      </c>
      <c r="F44" s="243"/>
      <c r="H44" s="14"/>
    </row>
    <row r="45" spans="1:8" x14ac:dyDescent="0.35">
      <c r="A45" s="145" t="s">
        <v>42</v>
      </c>
      <c r="B45" s="228">
        <f>Results!N83*1000</f>
        <v>5345.9449999999997</v>
      </c>
      <c r="C45" s="131" t="s">
        <v>27</v>
      </c>
      <c r="D45" s="131" t="s">
        <v>27</v>
      </c>
      <c r="F45" s="243"/>
    </row>
    <row r="46" spans="1:8" x14ac:dyDescent="0.35">
      <c r="A46" s="149" t="s">
        <v>43</v>
      </c>
      <c r="B46" s="228">
        <f>Results!N84*1000</f>
        <v>6040.2756944444454</v>
      </c>
      <c r="C46" s="132" t="s">
        <v>27</v>
      </c>
      <c r="D46" s="132" t="s">
        <v>27</v>
      </c>
      <c r="F46" s="243"/>
    </row>
    <row r="47" spans="1:8" x14ac:dyDescent="0.35">
      <c r="A47" s="145" t="s">
        <v>44</v>
      </c>
      <c r="B47" s="244">
        <f>Results!N85*1000</f>
        <v>985.70877777777764</v>
      </c>
      <c r="C47" s="173" t="s">
        <v>27</v>
      </c>
      <c r="D47" s="173" t="s">
        <v>27</v>
      </c>
      <c r="F47" s="243"/>
    </row>
    <row r="48" spans="1:8" x14ac:dyDescent="0.35">
      <c r="A48" s="145" t="s">
        <v>45</v>
      </c>
      <c r="B48" s="228">
        <f>Results!N86*1000</f>
        <v>3982.9698333333331</v>
      </c>
      <c r="C48" s="131" t="s">
        <v>27</v>
      </c>
      <c r="D48" s="131" t="s">
        <v>27</v>
      </c>
      <c r="F48" s="243"/>
    </row>
    <row r="49" spans="1:6" x14ac:dyDescent="0.35">
      <c r="A49" s="145" t="s">
        <v>46</v>
      </c>
      <c r="B49" s="228">
        <f>Results!N87*1000</f>
        <v>5262.4647777777782</v>
      </c>
      <c r="C49" s="131" t="s">
        <v>27</v>
      </c>
      <c r="D49" s="131" t="s">
        <v>27</v>
      </c>
      <c r="F49" s="243"/>
    </row>
    <row r="50" spans="1:6" x14ac:dyDescent="0.35">
      <c r="A50" s="149" t="s">
        <v>47</v>
      </c>
      <c r="B50" s="228">
        <f>Results!N88*1000</f>
        <v>5594.9408166666672</v>
      </c>
      <c r="C50" s="132" t="s">
        <v>27</v>
      </c>
      <c r="D50" s="132" t="s">
        <v>27</v>
      </c>
      <c r="F50" s="243"/>
    </row>
    <row r="51" spans="1:6" x14ac:dyDescent="0.35">
      <c r="A51" s="146" t="s">
        <v>48</v>
      </c>
      <c r="B51" s="244">
        <f>Results!N89*1000</f>
        <v>0</v>
      </c>
      <c r="C51" s="173" t="s">
        <v>27</v>
      </c>
      <c r="D51" s="173" t="s">
        <v>27</v>
      </c>
      <c r="F51" s="243"/>
    </row>
    <row r="52" spans="1:6" x14ac:dyDescent="0.35">
      <c r="A52" s="146" t="s">
        <v>49</v>
      </c>
      <c r="B52" s="228">
        <f>Results!N90*1000</f>
        <v>0</v>
      </c>
      <c r="C52" s="131" t="s">
        <v>27</v>
      </c>
      <c r="D52" s="131" t="s">
        <v>27</v>
      </c>
      <c r="F52" s="243"/>
    </row>
    <row r="53" spans="1:6" x14ac:dyDescent="0.35">
      <c r="A53" s="146" t="s">
        <v>50</v>
      </c>
      <c r="B53" s="228">
        <f>Results!N91*1000</f>
        <v>0</v>
      </c>
      <c r="C53" s="131" t="s">
        <v>27</v>
      </c>
      <c r="D53" s="131" t="s">
        <v>27</v>
      </c>
      <c r="F53" s="243"/>
    </row>
    <row r="54" spans="1:6" x14ac:dyDescent="0.35">
      <c r="A54" s="146" t="s">
        <v>51</v>
      </c>
      <c r="B54" s="228">
        <f>Results!N92*1000</f>
        <v>0</v>
      </c>
      <c r="C54" s="131" t="s">
        <v>27</v>
      </c>
      <c r="D54" s="131" t="s">
        <v>27</v>
      </c>
      <c r="F54" s="243"/>
    </row>
    <row r="55" spans="1:6" x14ac:dyDescent="0.35">
      <c r="A55" s="151" t="s">
        <v>52</v>
      </c>
      <c r="B55" s="229">
        <f>Results!N93*1000</f>
        <v>0</v>
      </c>
      <c r="C55" s="132" t="s">
        <v>27</v>
      </c>
      <c r="D55" s="132" t="s">
        <v>27</v>
      </c>
      <c r="F55" s="243"/>
    </row>
    <row r="56" spans="1:6" x14ac:dyDescent="0.35">
      <c r="A56" s="29" t="s">
        <v>53</v>
      </c>
      <c r="B56" s="135"/>
      <c r="C56" s="135"/>
      <c r="D56" s="240"/>
    </row>
    <row r="57" spans="1:6" x14ac:dyDescent="0.35">
      <c r="A57" s="174" t="s">
        <v>54</v>
      </c>
      <c r="B57" s="167" t="s">
        <v>27</v>
      </c>
      <c r="C57" s="167" t="s">
        <v>27</v>
      </c>
      <c r="D57" s="244">
        <f>Results!N102*GWP_N2O</f>
        <v>1626.6084167255103</v>
      </c>
    </row>
    <row r="58" spans="1:6" x14ac:dyDescent="0.35">
      <c r="A58" s="175" t="s">
        <v>55</v>
      </c>
      <c r="B58" s="167" t="s">
        <v>27</v>
      </c>
      <c r="C58" s="167" t="s">
        <v>27</v>
      </c>
      <c r="D58" s="228">
        <f>Results!N103*GWP_N2O</f>
        <v>1179.8100802040817</v>
      </c>
    </row>
    <row r="59" spans="1:6" x14ac:dyDescent="0.35">
      <c r="A59" s="175" t="s">
        <v>12</v>
      </c>
      <c r="B59" s="167" t="s">
        <v>27</v>
      </c>
      <c r="C59" s="167" t="s">
        <v>27</v>
      </c>
      <c r="D59" s="228">
        <f>Results!N104*GWP_N2O</f>
        <v>1672.1936763265307</v>
      </c>
    </row>
    <row r="60" spans="1:6" x14ac:dyDescent="0.35">
      <c r="A60" s="175" t="s">
        <v>56</v>
      </c>
      <c r="B60" s="167" t="s">
        <v>27</v>
      </c>
      <c r="C60" s="167" t="s">
        <v>27</v>
      </c>
      <c r="D60" s="228">
        <f>Results!N105*GWP_N2O</f>
        <v>1517.5566146938777</v>
      </c>
    </row>
    <row r="61" spans="1:6" x14ac:dyDescent="0.35">
      <c r="A61" s="175" t="s">
        <v>57</v>
      </c>
      <c r="B61" s="167" t="s">
        <v>27</v>
      </c>
      <c r="C61" s="167" t="s">
        <v>27</v>
      </c>
      <c r="D61" s="228">
        <f>Results!N106*GWP_N2O</f>
        <v>1321.9627322448978</v>
      </c>
    </row>
    <row r="62" spans="1:6" x14ac:dyDescent="0.35">
      <c r="A62" s="175" t="s">
        <v>669</v>
      </c>
      <c r="B62" s="167" t="s">
        <v>27</v>
      </c>
      <c r="C62" s="167" t="s">
        <v>27</v>
      </c>
      <c r="D62" s="228">
        <f>Results!N107*GWP_N2O</f>
        <v>1383.0485204081635</v>
      </c>
    </row>
    <row r="63" spans="1:6" x14ac:dyDescent="0.35">
      <c r="A63" s="175" t="s">
        <v>670</v>
      </c>
      <c r="B63" s="167"/>
      <c r="C63" s="167"/>
      <c r="D63" s="228">
        <f>Results!N108*GWP_N2O</f>
        <v>1587.2175000000002</v>
      </c>
    </row>
    <row r="64" spans="1:6" x14ac:dyDescent="0.35">
      <c r="A64" s="175" t="s">
        <v>28</v>
      </c>
      <c r="B64" s="167" t="s">
        <v>27</v>
      </c>
      <c r="C64" s="167" t="s">
        <v>27</v>
      </c>
      <c r="D64" s="228">
        <f>Results!N109*GWP_N2O</f>
        <v>2007.5593845663268</v>
      </c>
    </row>
    <row r="65" spans="1:7" x14ac:dyDescent="0.35">
      <c r="A65" s="175" t="s">
        <v>29</v>
      </c>
      <c r="B65" s="167" t="s">
        <v>27</v>
      </c>
      <c r="C65" s="167" t="s">
        <v>27</v>
      </c>
      <c r="D65" s="228">
        <f>Results!N110*GWP_N2O</f>
        <v>2006.5395212499996</v>
      </c>
    </row>
    <row r="66" spans="1:7" x14ac:dyDescent="0.35">
      <c r="A66" s="176" t="s">
        <v>30</v>
      </c>
      <c r="B66" s="167" t="s">
        <v>27</v>
      </c>
      <c r="C66" s="167" t="s">
        <v>27</v>
      </c>
      <c r="D66" s="229">
        <f>Results!N111*GWP_N2O</f>
        <v>2116.4470530612243</v>
      </c>
    </row>
    <row r="67" spans="1:7" x14ac:dyDescent="0.35">
      <c r="A67" s="29" t="s">
        <v>58</v>
      </c>
      <c r="B67" s="135"/>
      <c r="C67" s="135"/>
      <c r="D67" s="135"/>
    </row>
    <row r="68" spans="1:7" x14ac:dyDescent="0.35">
      <c r="A68" s="174" t="s">
        <v>54</v>
      </c>
      <c r="B68" s="167" t="s">
        <v>27</v>
      </c>
      <c r="C68" s="167" t="s">
        <v>27</v>
      </c>
      <c r="D68" s="244">
        <f>Results!N120*GWP_N2O</f>
        <v>121.84699999999998</v>
      </c>
      <c r="G68" s="242"/>
    </row>
    <row r="69" spans="1:7" x14ac:dyDescent="0.35">
      <c r="A69" s="175" t="s">
        <v>55</v>
      </c>
      <c r="B69" s="167" t="s">
        <v>27</v>
      </c>
      <c r="C69" s="167" t="s">
        <v>27</v>
      </c>
      <c r="D69" s="228">
        <f>Results!N121*GWP_N2O</f>
        <v>83.369000000000014</v>
      </c>
      <c r="G69" s="242"/>
    </row>
    <row r="70" spans="1:7" x14ac:dyDescent="0.35">
      <c r="A70" s="175" t="s">
        <v>12</v>
      </c>
      <c r="B70" s="167" t="s">
        <v>27</v>
      </c>
      <c r="C70" s="167" t="s">
        <v>27</v>
      </c>
      <c r="D70" s="228">
        <f>Results!N122*GWP_N2O</f>
        <v>121.84699999999998</v>
      </c>
      <c r="G70" s="242"/>
    </row>
    <row r="71" spans="1:7" x14ac:dyDescent="0.35">
      <c r="A71" s="175" t="s">
        <v>56</v>
      </c>
      <c r="B71" s="167" t="s">
        <v>27</v>
      </c>
      <c r="C71" s="167" t="s">
        <v>27</v>
      </c>
      <c r="D71" s="228">
        <f>Results!N123*GWP_N2O</f>
        <v>100.0428</v>
      </c>
      <c r="G71" s="242"/>
    </row>
    <row r="72" spans="1:7" x14ac:dyDescent="0.35">
      <c r="A72" s="175" t="s">
        <v>57</v>
      </c>
      <c r="B72" s="167" t="s">
        <v>27</v>
      </c>
      <c r="C72" s="167" t="s">
        <v>27</v>
      </c>
      <c r="D72" s="228">
        <f>Results!N124*GWP_N2O</f>
        <v>96.194999999999993</v>
      </c>
      <c r="G72" s="242"/>
    </row>
    <row r="73" spans="1:7" x14ac:dyDescent="0.35">
      <c r="A73" s="175" t="s">
        <v>26</v>
      </c>
      <c r="B73" s="167" t="s">
        <v>27</v>
      </c>
      <c r="C73" s="167" t="s">
        <v>27</v>
      </c>
      <c r="D73" s="228">
        <f>Results!N125*GWP_N2O</f>
        <v>57.716999999999999</v>
      </c>
      <c r="E73" s="226"/>
      <c r="G73" s="242"/>
    </row>
    <row r="74" spans="1:7" x14ac:dyDescent="0.35">
      <c r="A74" s="175" t="s">
        <v>28</v>
      </c>
      <c r="B74" s="167" t="s">
        <v>27</v>
      </c>
      <c r="C74" s="167" t="s">
        <v>27</v>
      </c>
      <c r="D74" s="228">
        <f>Results!N127*GWP_N2O</f>
        <v>53.869199999999999</v>
      </c>
      <c r="E74" s="226"/>
      <c r="G74" s="242"/>
    </row>
    <row r="75" spans="1:7" x14ac:dyDescent="0.35">
      <c r="A75" s="175" t="s">
        <v>29</v>
      </c>
      <c r="B75" s="167" t="s">
        <v>27</v>
      </c>
      <c r="C75" s="167" t="s">
        <v>27</v>
      </c>
      <c r="D75" s="228">
        <f>Results!N128*GWP_N2O</f>
        <v>64.13</v>
      </c>
      <c r="G75" s="242"/>
    </row>
    <row r="76" spans="1:7" x14ac:dyDescent="0.35">
      <c r="A76" s="176" t="s">
        <v>30</v>
      </c>
      <c r="B76" s="169" t="s">
        <v>27</v>
      </c>
      <c r="C76" s="169" t="s">
        <v>27</v>
      </c>
      <c r="D76" s="229">
        <f>Results!N129*GWP_N2O</f>
        <v>76.956000000000003</v>
      </c>
      <c r="G76" s="242"/>
    </row>
    <row r="77" spans="1:7" x14ac:dyDescent="0.35">
      <c r="A77" s="274"/>
      <c r="B77" s="124"/>
      <c r="C77" s="124"/>
      <c r="D77" s="124"/>
    </row>
    <row r="78" spans="1:7" x14ac:dyDescent="0.35">
      <c r="A78" s="275"/>
      <c r="B78" s="124"/>
      <c r="C78" s="124"/>
      <c r="D78" s="124"/>
    </row>
    <row r="79" spans="1:7" x14ac:dyDescent="0.35">
      <c r="A79" s="275"/>
      <c r="B79" s="124"/>
      <c r="C79" s="124"/>
      <c r="D79" s="124"/>
    </row>
    <row r="80" spans="1:7" x14ac:dyDescent="0.35">
      <c r="A80" s="276"/>
    </row>
    <row r="81" spans="1:26" x14ac:dyDescent="0.35">
      <c r="A81" s="276"/>
    </row>
    <row r="82" spans="1:26" x14ac:dyDescent="0.35">
      <c r="A82" s="276"/>
      <c r="V82" s="521" t="s">
        <v>59</v>
      </c>
      <c r="W82" s="521"/>
      <c r="X82" s="521"/>
      <c r="Y82" s="521"/>
      <c r="Z82" s="521"/>
    </row>
    <row r="83" spans="1:26" ht="21" x14ac:dyDescent="0.35">
      <c r="A83" s="13"/>
      <c r="B83" s="515" t="s">
        <v>60</v>
      </c>
      <c r="C83" s="516"/>
      <c r="D83" s="517"/>
      <c r="E83" s="518" t="s">
        <v>61</v>
      </c>
      <c r="F83" s="515" t="s">
        <v>652</v>
      </c>
      <c r="G83" s="516"/>
      <c r="H83" s="517"/>
      <c r="I83" s="251" t="s">
        <v>62</v>
      </c>
      <c r="V83" s="358" t="s">
        <v>647</v>
      </c>
      <c r="W83" s="358" t="s">
        <v>648</v>
      </c>
      <c r="X83" s="358" t="s">
        <v>649</v>
      </c>
      <c r="Y83" s="359" t="s">
        <v>646</v>
      </c>
      <c r="Z83" s="359" t="s">
        <v>645</v>
      </c>
    </row>
    <row r="84" spans="1:26" x14ac:dyDescent="0.35">
      <c r="A84" s="161"/>
      <c r="B84" s="162" t="s">
        <v>63</v>
      </c>
      <c r="C84" s="163" t="s">
        <v>64</v>
      </c>
      <c r="D84" s="164" t="s">
        <v>65</v>
      </c>
      <c r="E84" s="519"/>
      <c r="F84" s="162" t="s">
        <v>63</v>
      </c>
      <c r="G84" s="163" t="s">
        <v>64</v>
      </c>
      <c r="H84" s="164" t="s">
        <v>65</v>
      </c>
      <c r="I84" s="259"/>
      <c r="U84" s="259" t="s">
        <v>66</v>
      </c>
      <c r="V84" s="256">
        <f>F90</f>
        <v>9.4026535730205207</v>
      </c>
      <c r="W84" s="256">
        <f>G90</f>
        <v>3.2957075264705642E-2</v>
      </c>
      <c r="X84" s="256">
        <f>H90</f>
        <v>58.557567446037091</v>
      </c>
      <c r="Y84" s="256">
        <f>SUM(V84:X84)</f>
        <v>67.993178094322317</v>
      </c>
      <c r="Z84" s="256">
        <f>X84*100/Y84</f>
        <v>86.12270978833223</v>
      </c>
    </row>
    <row r="85" spans="1:26" x14ac:dyDescent="0.35">
      <c r="A85" s="277" t="s">
        <v>10</v>
      </c>
      <c r="B85" s="178">
        <f>B9+B$36</f>
        <v>492.88717269559163</v>
      </c>
      <c r="C85" s="248">
        <f>C9</f>
        <v>1.7276101391363186</v>
      </c>
      <c r="D85" s="180">
        <f>D9+D57+D68</f>
        <v>3493.2456789121288</v>
      </c>
      <c r="E85" s="263">
        <v>4</v>
      </c>
      <c r="F85" s="178">
        <f>B85*$E$85/1000</f>
        <v>1.9715486907823665</v>
      </c>
      <c r="G85" s="248">
        <f>C85*$E$85/1000</f>
        <v>6.9104405565452746E-3</v>
      </c>
      <c r="H85" s="180">
        <f>D85*$E$85/1000</f>
        <v>13.972982715648515</v>
      </c>
      <c r="I85" s="255"/>
      <c r="U85" s="255" t="s">
        <v>26</v>
      </c>
      <c r="V85" s="256">
        <f>F114</f>
        <v>-17.283862909372644</v>
      </c>
      <c r="W85" s="256">
        <f>G114</f>
        <v>2.3712414462001168E-2</v>
      </c>
      <c r="X85" s="256">
        <f>H114</f>
        <v>34.004871665168132</v>
      </c>
      <c r="Y85" s="256">
        <f t="shared" ref="Y85:Y88" si="1">SUM(V85:X85)</f>
        <v>16.744721170257488</v>
      </c>
      <c r="Z85" s="256">
        <f t="shared" ref="Z85:Z88" si="2">X85*100/Y85</f>
        <v>203.07816009243962</v>
      </c>
    </row>
    <row r="86" spans="1:26" x14ac:dyDescent="0.35">
      <c r="A86" s="278" t="s">
        <v>11</v>
      </c>
      <c r="B86" s="182">
        <f>B10+B$36</f>
        <v>492.88717269559163</v>
      </c>
      <c r="C86" s="236">
        <f>C10</f>
        <v>1.7276101391363186</v>
      </c>
      <c r="D86" s="184">
        <f>D10+D58+D69</f>
        <v>3007.9693423907006</v>
      </c>
      <c r="E86" s="185">
        <v>3</v>
      </c>
      <c r="F86" s="182">
        <f>B86*$E$86/1000</f>
        <v>1.4786615180867748</v>
      </c>
      <c r="G86" s="236">
        <f>C86*$E$86/1000</f>
        <v>5.1828304174089557E-3</v>
      </c>
      <c r="H86" s="184">
        <f>D86*$E$86/1000</f>
        <v>9.0239080271721015</v>
      </c>
      <c r="I86" s="255"/>
      <c r="K86" s="520" t="s">
        <v>672</v>
      </c>
      <c r="L86" s="520"/>
      <c r="M86" s="331" t="s">
        <v>655</v>
      </c>
      <c r="U86" s="255" t="s">
        <v>28</v>
      </c>
      <c r="V86" s="256">
        <f>F138</f>
        <v>-5.606034729330343</v>
      </c>
      <c r="W86" s="256">
        <f>G138</f>
        <v>8.2392407065066502E-3</v>
      </c>
      <c r="X86" s="256">
        <f>H138</f>
        <v>41.304032731038149</v>
      </c>
      <c r="Y86" s="256">
        <f t="shared" si="1"/>
        <v>35.706237242414311</v>
      </c>
      <c r="Z86" s="256">
        <f t="shared" si="2"/>
        <v>115.67736037437851</v>
      </c>
    </row>
    <row r="87" spans="1:26" x14ac:dyDescent="0.35">
      <c r="A87" s="278" t="s">
        <v>12</v>
      </c>
      <c r="B87" s="182">
        <f>B11+B$36</f>
        <v>253.88066343890128</v>
      </c>
      <c r="C87" s="236">
        <f>C11</f>
        <v>0.88987263736032696</v>
      </c>
      <c r="D87" s="184">
        <f>D11+D59+D70</f>
        <v>2692.7626026917187</v>
      </c>
      <c r="E87" s="185">
        <v>3</v>
      </c>
      <c r="F87" s="182">
        <f>B87*$E$87/1000</f>
        <v>0.76164199031670388</v>
      </c>
      <c r="G87" s="236">
        <f>C87*$E$87/1000</f>
        <v>2.6696179120809811E-3</v>
      </c>
      <c r="H87" s="184">
        <f>D87*$E$87/1000</f>
        <v>8.0782878080751566</v>
      </c>
      <c r="I87" s="255"/>
      <c r="K87" s="328" t="s">
        <v>644</v>
      </c>
      <c r="L87" s="329">
        <f>((D9*4)+(D10*3)+(D11*3)+(D12*3)+(D13*3))/16/1000</f>
        <v>2.0803009417954299</v>
      </c>
      <c r="M87" s="332"/>
      <c r="U87" s="255" t="s">
        <v>29</v>
      </c>
      <c r="V87" s="256">
        <f>F162</f>
        <v>2.4526386744909714</v>
      </c>
      <c r="W87" s="256">
        <f>G162</f>
        <v>1.0994436819349614E-2</v>
      </c>
      <c r="X87" s="256">
        <f>H162</f>
        <v>44.234482725497593</v>
      </c>
      <c r="Y87" s="256">
        <f t="shared" si="1"/>
        <v>46.698115836807915</v>
      </c>
      <c r="Z87" s="256">
        <f t="shared" si="2"/>
        <v>94.724341513221262</v>
      </c>
    </row>
    <row r="88" spans="1:26" x14ac:dyDescent="0.35">
      <c r="A88" s="278" t="s">
        <v>13</v>
      </c>
      <c r="B88" s="182">
        <f>B12+B$36</f>
        <v>1236.1763769047595</v>
      </c>
      <c r="C88" s="236">
        <f>C12</f>
        <v>4.3329000242017512</v>
      </c>
      <c r="D88" s="184">
        <f>D12+D60+D71</f>
        <v>5993.5877224696351</v>
      </c>
      <c r="E88" s="185">
        <v>3</v>
      </c>
      <c r="F88" s="182">
        <f>B88*$E$88/1000</f>
        <v>3.7085291307142789</v>
      </c>
      <c r="G88" s="236">
        <f>C88*$E$88/1000</f>
        <v>1.2998700072605254E-2</v>
      </c>
      <c r="H88" s="184">
        <f>D88*$E$88/1000</f>
        <v>17.980763167408906</v>
      </c>
      <c r="I88" s="255"/>
      <c r="K88" s="328" t="s">
        <v>656</v>
      </c>
      <c r="L88" s="329">
        <f>((D57*4)+(D58*3)+(D59*3)+(D60*3)+(D61*3)+(D68*4)+(D69*3)+(D70*3)+(D71*3)+(D72*3))/16/1000</f>
        <v>1.5795470235818878</v>
      </c>
      <c r="M88" s="255"/>
      <c r="U88" s="257" t="s">
        <v>30</v>
      </c>
      <c r="V88" s="258">
        <f>F186</f>
        <v>-55.463623564134267</v>
      </c>
      <c r="W88" s="258">
        <f>G186</f>
        <v>1.0601297963814904E-2</v>
      </c>
      <c r="X88" s="258">
        <f>H186</f>
        <v>45.801170831434646</v>
      </c>
      <c r="Y88" s="258">
        <f t="shared" si="1"/>
        <v>-9.6518514347358035</v>
      </c>
      <c r="Z88" s="258">
        <f t="shared" si="2"/>
        <v>-474.53248883009093</v>
      </c>
    </row>
    <row r="89" spans="1:26" x14ac:dyDescent="0.35">
      <c r="A89" s="279" t="s">
        <v>14</v>
      </c>
      <c r="B89" s="190">
        <f>B13+B$36</f>
        <v>494.09074770679871</v>
      </c>
      <c r="C89" s="249">
        <f>C13</f>
        <v>1.7318287686883937</v>
      </c>
      <c r="D89" s="189">
        <f>D13+D61+D72</f>
        <v>3167.208575910804</v>
      </c>
      <c r="E89" s="264">
        <v>3</v>
      </c>
      <c r="F89" s="190">
        <f>B89*$E$89/1000</f>
        <v>1.4822722431203961</v>
      </c>
      <c r="G89" s="249">
        <f>C89*$E$89/1000</f>
        <v>5.195486306065181E-3</v>
      </c>
      <c r="H89" s="189">
        <f>D89*$E$89/1000</f>
        <v>9.5016257277324119</v>
      </c>
      <c r="I89" s="257"/>
      <c r="K89" s="336" t="s">
        <v>657</v>
      </c>
      <c r="L89" s="330">
        <f>((D57*4)+(D58*3)+(D59*3)+(D60*3)+(D61*3))/16/1000</f>
        <v>1.4738126860818876</v>
      </c>
      <c r="M89" s="337">
        <f>L89*100/L90</f>
        <v>40.269778964163685</v>
      </c>
    </row>
    <row r="90" spans="1:26" x14ac:dyDescent="0.35">
      <c r="A90" s="224" t="s">
        <v>66</v>
      </c>
      <c r="B90" s="215"/>
      <c r="C90" s="216"/>
      <c r="D90" s="306">
        <f>SUM(D85:D89)/16</f>
        <v>1147.1733701484368</v>
      </c>
      <c r="E90" s="217"/>
      <c r="F90" s="165">
        <f>SUM(F85:F89)</f>
        <v>9.4026535730205207</v>
      </c>
      <c r="G90" s="340">
        <f t="shared" ref="G90:H90" si="3">SUM(G85:G89)</f>
        <v>3.2957075264705642E-2</v>
      </c>
      <c r="H90" s="260">
        <f t="shared" si="3"/>
        <v>58.557567446037091</v>
      </c>
      <c r="I90" s="250">
        <f>F90+G90+H90</f>
        <v>67.993178094322317</v>
      </c>
      <c r="K90" s="333" t="s">
        <v>658</v>
      </c>
      <c r="L90" s="334">
        <f>L87+L88</f>
        <v>3.6598479653773177</v>
      </c>
      <c r="M90" s="335"/>
    </row>
    <row r="91" spans="1:26" x14ac:dyDescent="0.35">
      <c r="A91" s="313"/>
      <c r="B91" s="14"/>
      <c r="C91" s="219"/>
      <c r="D91" s="314"/>
      <c r="E91" s="220"/>
      <c r="F91" s="526" t="s">
        <v>673</v>
      </c>
      <c r="G91" s="527"/>
      <c r="H91" s="528"/>
      <c r="I91" s="139"/>
      <c r="L91" s="15"/>
    </row>
    <row r="92" spans="1:26" x14ac:dyDescent="0.35">
      <c r="A92" s="313"/>
      <c r="B92" s="14"/>
      <c r="C92" s="219"/>
      <c r="D92" s="314"/>
      <c r="E92" s="220"/>
      <c r="F92" s="162" t="s">
        <v>63</v>
      </c>
      <c r="G92" s="163" t="s">
        <v>64</v>
      </c>
      <c r="H92" s="164" t="s">
        <v>65</v>
      </c>
      <c r="I92" s="251" t="s">
        <v>62</v>
      </c>
    </row>
    <row r="93" spans="1:26" x14ac:dyDescent="0.35">
      <c r="A93" s="218"/>
      <c r="B93" s="14"/>
      <c r="C93" s="219"/>
      <c r="D93" s="14"/>
      <c r="E93" s="319" t="s">
        <v>653</v>
      </c>
      <c r="F93" s="315">
        <f>F90/16</f>
        <v>0.58766584831378255</v>
      </c>
      <c r="G93" s="354">
        <f>(C85+C86+C87+C88+C89)/5/1000</f>
        <v>2.081964341704622E-3</v>
      </c>
      <c r="H93" s="356">
        <f>H90/16</f>
        <v>3.6598479653773182</v>
      </c>
      <c r="I93" s="320">
        <f>I90/16</f>
        <v>4.2495736308951448</v>
      </c>
    </row>
    <row r="94" spans="1:26" x14ac:dyDescent="0.35">
      <c r="A94" s="218"/>
      <c r="B94" s="218"/>
      <c r="C94" s="218"/>
      <c r="D94" s="218"/>
      <c r="E94" s="316" t="s">
        <v>605</v>
      </c>
      <c r="F94" s="317">
        <f>F93*1000</f>
        <v>587.66584831378259</v>
      </c>
      <c r="G94" s="317">
        <f>G93*1000</f>
        <v>2.0819643417046221</v>
      </c>
      <c r="H94" s="318">
        <f>H93*1000</f>
        <v>3659.8479653773184</v>
      </c>
      <c r="I94" s="318">
        <f>I93*1000</f>
        <v>4249.5736308951446</v>
      </c>
    </row>
    <row r="96" spans="1:26" x14ac:dyDescent="0.35">
      <c r="A96" s="280" t="s">
        <v>26</v>
      </c>
      <c r="B96" s="515" t="s">
        <v>60</v>
      </c>
      <c r="C96" s="516"/>
      <c r="D96" s="517"/>
      <c r="E96" s="518" t="s">
        <v>61</v>
      </c>
      <c r="F96" s="515" t="s">
        <v>59</v>
      </c>
      <c r="G96" s="516"/>
      <c r="H96" s="517"/>
    </row>
    <row r="97" spans="1:13" x14ac:dyDescent="0.35">
      <c r="A97" s="161" t="s">
        <v>67</v>
      </c>
      <c r="B97" s="162" t="s">
        <v>63</v>
      </c>
      <c r="C97" s="163" t="s">
        <v>64</v>
      </c>
      <c r="D97" s="164" t="s">
        <v>65</v>
      </c>
      <c r="E97" s="519"/>
      <c r="F97" s="162" t="s">
        <v>63</v>
      </c>
      <c r="G97" s="163" t="s">
        <v>64</v>
      </c>
      <c r="H97" s="164" t="s">
        <v>65</v>
      </c>
    </row>
    <row r="98" spans="1:13" x14ac:dyDescent="0.35">
      <c r="A98" s="177" t="s">
        <v>68</v>
      </c>
      <c r="B98" s="178">
        <f>B14+B$25+$B$30+$B$37+B39</f>
        <v>-798.15030592074072</v>
      </c>
      <c r="C98" s="248">
        <f>$C$14</f>
        <v>1.4820259038750725</v>
      </c>
      <c r="D98" s="180">
        <f t="shared" ref="D98" si="4">$D$14+$D$62+$D$73</f>
        <v>2937.529348549549</v>
      </c>
      <c r="E98" s="263">
        <v>1</v>
      </c>
      <c r="F98" s="178">
        <f>$B98*$E98/1000</f>
        <v>-0.79815030592074077</v>
      </c>
      <c r="G98" s="248">
        <f>$C98*$E98/1000</f>
        <v>1.4820259038750725E-3</v>
      </c>
      <c r="H98" s="180">
        <f>$D98*$E98/1000</f>
        <v>2.9375293485495488</v>
      </c>
    </row>
    <row r="99" spans="1:13" x14ac:dyDescent="0.35">
      <c r="A99" s="181">
        <v>2</v>
      </c>
      <c r="B99" s="182">
        <f>$B$15+B$25+$B$30+$B$37+B$40</f>
        <v>-1139.1037945436669</v>
      </c>
      <c r="C99" s="236">
        <f t="shared" ref="C99:C113" si="5">$C$14</f>
        <v>1.4820259038750725</v>
      </c>
      <c r="D99" s="184">
        <f>$D$15+$D$62+$D$73</f>
        <v>1730.5749789432514</v>
      </c>
      <c r="E99" s="185">
        <v>1</v>
      </c>
      <c r="F99" s="182">
        <f t="shared" ref="F99:F113" si="6">$B99*$E99/1000</f>
        <v>-1.1391037945436668</v>
      </c>
      <c r="G99" s="236">
        <f t="shared" ref="G99:G113" si="7">$C99*$E99/1000</f>
        <v>1.4820259038750725E-3</v>
      </c>
      <c r="H99" s="184">
        <f t="shared" ref="H99:H113" si="8">$D99*$E99/1000</f>
        <v>1.7305749789432514</v>
      </c>
    </row>
    <row r="100" spans="1:13" x14ac:dyDescent="0.35">
      <c r="A100" s="181">
        <v>3</v>
      </c>
      <c r="B100" s="182">
        <f>$B$15+B$25+$B$30+$B$37+B$41</f>
        <v>-1139.103794543666</v>
      </c>
      <c r="C100" s="236">
        <f t="shared" si="5"/>
        <v>1.4820259038750725</v>
      </c>
      <c r="D100" s="184">
        <f>$D$15+$D$62+$D$73</f>
        <v>1730.5749789432514</v>
      </c>
      <c r="E100" s="185">
        <v>1</v>
      </c>
      <c r="F100" s="182">
        <f t="shared" si="6"/>
        <v>-1.1391037945436659</v>
      </c>
      <c r="G100" s="236">
        <f t="shared" si="7"/>
        <v>1.4820259038750725E-3</v>
      </c>
      <c r="H100" s="184">
        <f t="shared" si="8"/>
        <v>1.7305749789432514</v>
      </c>
    </row>
    <row r="101" spans="1:13" x14ac:dyDescent="0.35">
      <c r="A101" s="186" t="s">
        <v>69</v>
      </c>
      <c r="B101" s="182">
        <f>B$16+B$25+$B$30+$B$37+B$42</f>
        <v>-988.89271586789346</v>
      </c>
      <c r="C101" s="236">
        <f t="shared" si="5"/>
        <v>1.4820259038750725</v>
      </c>
      <c r="D101" s="184">
        <f>$D$16+$D$62+$D$73</f>
        <v>2262.3129544168069</v>
      </c>
      <c r="E101" s="185">
        <v>1</v>
      </c>
      <c r="F101" s="182">
        <f t="shared" si="6"/>
        <v>-0.98889271586789351</v>
      </c>
      <c r="G101" s="236">
        <f t="shared" si="7"/>
        <v>1.4820259038750725E-3</v>
      </c>
      <c r="H101" s="184">
        <f t="shared" si="8"/>
        <v>2.262312954416807</v>
      </c>
    </row>
    <row r="102" spans="1:13" x14ac:dyDescent="0.35">
      <c r="A102" s="181">
        <v>5</v>
      </c>
      <c r="B102" s="182">
        <f>$B$15+B$25+$B$30+$B$37+B$40</f>
        <v>-1139.1037945436669</v>
      </c>
      <c r="C102" s="236">
        <f t="shared" si="5"/>
        <v>1.4820259038750725</v>
      </c>
      <c r="D102" s="184">
        <f>$D$15+$D$63+$D$73</f>
        <v>1934.743958535088</v>
      </c>
      <c r="E102" s="185">
        <v>1</v>
      </c>
      <c r="F102" s="182">
        <f t="shared" si="6"/>
        <v>-1.1391037945436668</v>
      </c>
      <c r="G102" s="236">
        <f t="shared" si="7"/>
        <v>1.4820259038750725E-3</v>
      </c>
      <c r="H102" s="184">
        <f t="shared" si="8"/>
        <v>1.9347439585350881</v>
      </c>
      <c r="J102" s="226"/>
    </row>
    <row r="103" spans="1:13" x14ac:dyDescent="0.35">
      <c r="A103" s="181">
        <v>6</v>
      </c>
      <c r="B103" s="182">
        <f>$B$15+B$25+$B$30+$B$37+B$41</f>
        <v>-1139.103794543666</v>
      </c>
      <c r="C103" s="236">
        <f t="shared" si="5"/>
        <v>1.4820259038750725</v>
      </c>
      <c r="D103" s="184">
        <f>$D$15+$D$63+$D$73</f>
        <v>1934.743958535088</v>
      </c>
      <c r="E103" s="185">
        <v>1</v>
      </c>
      <c r="F103" s="182">
        <f t="shared" si="6"/>
        <v>-1.1391037945436659</v>
      </c>
      <c r="G103" s="236">
        <f t="shared" si="7"/>
        <v>1.4820259038750725E-3</v>
      </c>
      <c r="H103" s="184">
        <f t="shared" si="8"/>
        <v>1.9347439585350881</v>
      </c>
    </row>
    <row r="104" spans="1:13" x14ac:dyDescent="0.35">
      <c r="A104" s="186" t="s">
        <v>70</v>
      </c>
      <c r="B104" s="182">
        <f>B$16+B$25+$B$30+$B$37+B$42</f>
        <v>-988.89271586789346</v>
      </c>
      <c r="C104" s="236">
        <f t="shared" si="5"/>
        <v>1.4820259038750725</v>
      </c>
      <c r="D104" s="184">
        <f>$D$16+$D$63+$D$73</f>
        <v>2466.4819340086433</v>
      </c>
      <c r="E104" s="185">
        <v>1</v>
      </c>
      <c r="F104" s="182">
        <f t="shared" si="6"/>
        <v>-0.98889271586789351</v>
      </c>
      <c r="G104" s="236">
        <f t="shared" si="7"/>
        <v>1.4820259038750725E-3</v>
      </c>
      <c r="H104" s="184">
        <f t="shared" si="8"/>
        <v>2.4664819340086432</v>
      </c>
    </row>
    <row r="105" spans="1:13" x14ac:dyDescent="0.35">
      <c r="A105" s="181">
        <v>8</v>
      </c>
      <c r="B105" s="182">
        <f>$B$15+B$25+$B$30+$B$37+B$40</f>
        <v>-1139.1037945436669</v>
      </c>
      <c r="C105" s="236">
        <f t="shared" si="5"/>
        <v>1.4820259038750725</v>
      </c>
      <c r="D105" s="184">
        <f>$D$15+$D$63+$D$73</f>
        <v>1934.743958535088</v>
      </c>
      <c r="E105" s="185">
        <v>1</v>
      </c>
      <c r="F105" s="182">
        <f t="shared" si="6"/>
        <v>-1.1391037945436668</v>
      </c>
      <c r="G105" s="236">
        <f t="shared" si="7"/>
        <v>1.4820259038750725E-3</v>
      </c>
      <c r="H105" s="184">
        <f t="shared" si="8"/>
        <v>1.9347439585350881</v>
      </c>
    </row>
    <row r="106" spans="1:13" x14ac:dyDescent="0.35">
      <c r="A106" s="181">
        <v>9</v>
      </c>
      <c r="B106" s="182">
        <f>$B$15+B$25+$B$30+$B$37+B$41</f>
        <v>-1139.103794543666</v>
      </c>
      <c r="C106" s="236">
        <f t="shared" si="5"/>
        <v>1.4820259038750725</v>
      </c>
      <c r="D106" s="184">
        <f>$D$15+$D$63+$D$73</f>
        <v>1934.743958535088</v>
      </c>
      <c r="E106" s="185">
        <v>1</v>
      </c>
      <c r="F106" s="182">
        <f t="shared" si="6"/>
        <v>-1.1391037945436659</v>
      </c>
      <c r="G106" s="236">
        <f t="shared" si="7"/>
        <v>1.4820259038750725E-3</v>
      </c>
      <c r="H106" s="184">
        <f t="shared" si="8"/>
        <v>1.9347439585350881</v>
      </c>
    </row>
    <row r="107" spans="1:13" x14ac:dyDescent="0.35">
      <c r="A107" s="186" t="s">
        <v>71</v>
      </c>
      <c r="B107" s="182">
        <f>B$16+B$25+$B$30+$B$37+B$42</f>
        <v>-988.89271586789346</v>
      </c>
      <c r="C107" s="236">
        <f t="shared" si="5"/>
        <v>1.4820259038750725</v>
      </c>
      <c r="D107" s="184">
        <f>$D$16+$D$63+$D$73</f>
        <v>2466.4819340086433</v>
      </c>
      <c r="E107" s="185">
        <v>1</v>
      </c>
      <c r="F107" s="182">
        <f t="shared" si="6"/>
        <v>-0.98889271586789351</v>
      </c>
      <c r="G107" s="236">
        <f t="shared" si="7"/>
        <v>1.4820259038750725E-3</v>
      </c>
      <c r="H107" s="184">
        <f t="shared" si="8"/>
        <v>2.4664819340086432</v>
      </c>
    </row>
    <row r="108" spans="1:13" x14ac:dyDescent="0.35">
      <c r="A108" s="181">
        <v>11</v>
      </c>
      <c r="B108" s="182">
        <f>$B$15+B$25+$B$30+$B$37+B$40</f>
        <v>-1139.1037945436669</v>
      </c>
      <c r="C108" s="236">
        <f t="shared" si="5"/>
        <v>1.4820259038750725</v>
      </c>
      <c r="D108" s="184">
        <f>$D$15+$D$63+$D$73</f>
        <v>1934.743958535088</v>
      </c>
      <c r="E108" s="185">
        <v>1</v>
      </c>
      <c r="F108" s="182">
        <f t="shared" si="6"/>
        <v>-1.1391037945436668</v>
      </c>
      <c r="G108" s="236">
        <f t="shared" si="7"/>
        <v>1.4820259038750725E-3</v>
      </c>
      <c r="H108" s="184">
        <f t="shared" si="8"/>
        <v>1.9347439585350881</v>
      </c>
      <c r="K108" s="520" t="s">
        <v>672</v>
      </c>
      <c r="L108" s="520"/>
      <c r="M108" s="331" t="s">
        <v>655</v>
      </c>
    </row>
    <row r="109" spans="1:13" x14ac:dyDescent="0.35">
      <c r="A109" s="181">
        <v>12</v>
      </c>
      <c r="B109" s="182">
        <f>$B$15+B$25+$B$30+$B$37+B$41</f>
        <v>-1139.103794543666</v>
      </c>
      <c r="C109" s="236">
        <f t="shared" si="5"/>
        <v>1.4820259038750725</v>
      </c>
      <c r="D109" s="184">
        <f>$D$15+$D$63+$D$73</f>
        <v>1934.743958535088</v>
      </c>
      <c r="E109" s="185">
        <v>1</v>
      </c>
      <c r="F109" s="182">
        <f t="shared" si="6"/>
        <v>-1.1391037945436659</v>
      </c>
      <c r="G109" s="236">
        <f t="shared" si="7"/>
        <v>1.4820259038750725E-3</v>
      </c>
      <c r="H109" s="184">
        <f t="shared" si="8"/>
        <v>1.9347439585350881</v>
      </c>
      <c r="K109" s="328" t="s">
        <v>644</v>
      </c>
      <c r="L109" s="338">
        <f>(D14+(D16*5)+(D15*10))/16/1000</f>
        <v>0.53141222397096732</v>
      </c>
      <c r="M109" s="332"/>
    </row>
    <row r="110" spans="1:13" x14ac:dyDescent="0.35">
      <c r="A110" s="186" t="s">
        <v>72</v>
      </c>
      <c r="B110" s="182">
        <f>B$16+B$25+$B$30+$B$37+B$42</f>
        <v>-988.89271586789346</v>
      </c>
      <c r="C110" s="236">
        <f t="shared" si="5"/>
        <v>1.4820259038750725</v>
      </c>
      <c r="D110" s="184">
        <f>$D$16+$D$63+$D$73</f>
        <v>2466.4819340086433</v>
      </c>
      <c r="E110" s="185">
        <v>1</v>
      </c>
      <c r="F110" s="182">
        <f t="shared" si="6"/>
        <v>-0.98889271586789351</v>
      </c>
      <c r="G110" s="236">
        <f t="shared" si="7"/>
        <v>1.4820259038750725E-3</v>
      </c>
      <c r="H110" s="184">
        <f t="shared" si="8"/>
        <v>2.4664819340086432</v>
      </c>
      <c r="K110" s="328" t="s">
        <v>656</v>
      </c>
      <c r="L110" s="329">
        <f>((D62*4)+(D63*12)+(D73*16))/16/1000</f>
        <v>1.5938922551020409</v>
      </c>
      <c r="M110" s="255"/>
    </row>
    <row r="111" spans="1:13" x14ac:dyDescent="0.35">
      <c r="A111" s="181">
        <v>14</v>
      </c>
      <c r="B111" s="182">
        <f>$B$15+B$25+$B$30+$B$37+B$40</f>
        <v>-1139.1037945436669</v>
      </c>
      <c r="C111" s="236">
        <f t="shared" si="5"/>
        <v>1.4820259038750725</v>
      </c>
      <c r="D111" s="184">
        <f>$D$15+$D$63+$D$73</f>
        <v>1934.743958535088</v>
      </c>
      <c r="E111" s="185">
        <v>1</v>
      </c>
      <c r="F111" s="182">
        <f t="shared" si="6"/>
        <v>-1.1391037945436668</v>
      </c>
      <c r="G111" s="236">
        <f t="shared" si="7"/>
        <v>1.4820259038750725E-3</v>
      </c>
      <c r="H111" s="184">
        <f t="shared" si="8"/>
        <v>1.9347439585350881</v>
      </c>
      <c r="K111" s="336" t="s">
        <v>657</v>
      </c>
      <c r="L111" s="330">
        <f>((D62*4)+(D63*12))/16/1000</f>
        <v>1.5361752551020409</v>
      </c>
      <c r="M111" s="337">
        <f>L111*100/L112</f>
        <v>72.280243618179014</v>
      </c>
    </row>
    <row r="112" spans="1:13" x14ac:dyDescent="0.35">
      <c r="A112" s="181">
        <v>15</v>
      </c>
      <c r="B112" s="182">
        <f>$B$15+B$25+$B$30+$B$37+B$41</f>
        <v>-1139.103794543666</v>
      </c>
      <c r="C112" s="236">
        <f t="shared" si="5"/>
        <v>1.4820259038750725</v>
      </c>
      <c r="D112" s="184">
        <f>$D$15+$D$63+$D$73</f>
        <v>1934.743958535088</v>
      </c>
      <c r="E112" s="185">
        <v>1</v>
      </c>
      <c r="F112" s="182">
        <f t="shared" si="6"/>
        <v>-1.1391037945436659</v>
      </c>
      <c r="G112" s="236">
        <f t="shared" si="7"/>
        <v>1.4820259038750725E-3</v>
      </c>
      <c r="H112" s="184">
        <f t="shared" si="8"/>
        <v>1.9347439585350881</v>
      </c>
      <c r="K112" s="333" t="s">
        <v>658</v>
      </c>
      <c r="L112" s="334">
        <f>L109+L110</f>
        <v>2.1253044790730082</v>
      </c>
      <c r="M112" s="335"/>
    </row>
    <row r="113" spans="1:10" x14ac:dyDescent="0.35">
      <c r="A113" s="187" t="s">
        <v>73</v>
      </c>
      <c r="B113" s="182">
        <f>$B$15+B$25+$B$30+$B$37+B42</f>
        <v>-1139.1037945436674</v>
      </c>
      <c r="C113" s="249">
        <f t="shared" si="5"/>
        <v>1.4820259038750725</v>
      </c>
      <c r="D113" s="189">
        <f>$D$16+$D$63+$D$73</f>
        <v>2466.4819340086433</v>
      </c>
      <c r="E113" s="264">
        <v>1</v>
      </c>
      <c r="F113" s="190">
        <f t="shared" si="6"/>
        <v>-1.1391037945436673</v>
      </c>
      <c r="G113" s="249">
        <f t="shared" si="7"/>
        <v>1.4820259038750725E-3</v>
      </c>
      <c r="H113" s="189">
        <f t="shared" si="8"/>
        <v>2.4664819340086432</v>
      </c>
    </row>
    <row r="114" spans="1:10" x14ac:dyDescent="0.35">
      <c r="A114" s="191" t="s">
        <v>62</v>
      </c>
      <c r="B114" s="192"/>
      <c r="C114" s="193"/>
      <c r="D114" s="306">
        <f>SUM(D98:D113)/16</f>
        <v>2125.3044790730082</v>
      </c>
      <c r="E114" s="194"/>
      <c r="F114" s="225">
        <f>SUM(F98:F113)</f>
        <v>-17.283862909372644</v>
      </c>
      <c r="G114" s="341">
        <f t="shared" ref="G114:H114" si="9">SUM(G98:G113)</f>
        <v>2.3712414462001168E-2</v>
      </c>
      <c r="H114" s="261">
        <f t="shared" si="9"/>
        <v>34.004871665168132</v>
      </c>
      <c r="I114" s="250">
        <f>F114+G114+H114</f>
        <v>16.744721170257488</v>
      </c>
    </row>
    <row r="115" spans="1:10" x14ac:dyDescent="0.35">
      <c r="A115" s="321"/>
      <c r="B115" s="322"/>
      <c r="C115" s="322"/>
      <c r="D115" s="314"/>
      <c r="E115" s="322"/>
      <c r="F115" s="526" t="s">
        <v>673</v>
      </c>
      <c r="G115" s="527"/>
      <c r="H115" s="528"/>
      <c r="I115" s="139"/>
    </row>
    <row r="116" spans="1:10" x14ac:dyDescent="0.35">
      <c r="A116" s="321"/>
      <c r="B116" s="322"/>
      <c r="C116" s="322"/>
      <c r="D116" s="314"/>
      <c r="E116" s="322"/>
      <c r="F116" s="162" t="s">
        <v>63</v>
      </c>
      <c r="G116" s="163" t="s">
        <v>64</v>
      </c>
      <c r="H116" s="164" t="s">
        <v>65</v>
      </c>
      <c r="I116" s="251" t="s">
        <v>62</v>
      </c>
    </row>
    <row r="117" spans="1:10" x14ac:dyDescent="0.35">
      <c r="A117" s="11"/>
      <c r="B117" s="11"/>
      <c r="C117" s="11"/>
      <c r="D117" s="11"/>
      <c r="E117" s="319" t="s">
        <v>653</v>
      </c>
      <c r="F117" s="127">
        <f>F114/16</f>
        <v>-1.0802414318357902</v>
      </c>
      <c r="G117" s="183">
        <f>G114/16</f>
        <v>1.482025903875073E-3</v>
      </c>
      <c r="H117" s="355">
        <f>H114/16</f>
        <v>2.1253044790730082</v>
      </c>
      <c r="I117" s="320">
        <f>I114/16</f>
        <v>1.046545073141093</v>
      </c>
    </row>
    <row r="118" spans="1:10" x14ac:dyDescent="0.35">
      <c r="A118" s="11"/>
      <c r="B118" s="11"/>
      <c r="C118" s="11"/>
      <c r="D118" s="11"/>
      <c r="E118" s="316" t="s">
        <v>605</v>
      </c>
      <c r="F118" s="324">
        <f>F117*1000</f>
        <v>-1080.2414318357903</v>
      </c>
      <c r="G118" s="325"/>
      <c r="H118" s="326">
        <f>H117*1000</f>
        <v>2125.3044790730082</v>
      </c>
      <c r="I118" s="318"/>
    </row>
    <row r="119" spans="1:10" x14ac:dyDescent="0.35">
      <c r="A119" s="11"/>
      <c r="B119" s="11"/>
      <c r="C119" s="11"/>
      <c r="D119" s="11"/>
      <c r="E119" s="323"/>
      <c r="F119" s="239"/>
      <c r="G119" s="11"/>
      <c r="H119" s="239"/>
      <c r="I119" s="239"/>
    </row>
    <row r="120" spans="1:10" x14ac:dyDescent="0.35">
      <c r="A120" s="280" t="s">
        <v>28</v>
      </c>
      <c r="B120" s="515" t="s">
        <v>60</v>
      </c>
      <c r="C120" s="516"/>
      <c r="D120" s="517"/>
      <c r="E120" s="518" t="s">
        <v>61</v>
      </c>
      <c r="F120" s="515" t="s">
        <v>59</v>
      </c>
      <c r="G120" s="516"/>
      <c r="H120" s="517"/>
    </row>
    <row r="121" spans="1:10" x14ac:dyDescent="0.35">
      <c r="A121" s="161" t="s">
        <v>67</v>
      </c>
      <c r="B121" s="162" t="s">
        <v>63</v>
      </c>
      <c r="C121" s="163" t="s">
        <v>64</v>
      </c>
      <c r="D121" s="164" t="s">
        <v>65</v>
      </c>
      <c r="E121" s="519"/>
      <c r="F121" s="162" t="s">
        <v>63</v>
      </c>
      <c r="G121" s="163" t="s">
        <v>64</v>
      </c>
      <c r="H121" s="164" t="s">
        <v>65</v>
      </c>
    </row>
    <row r="122" spans="1:10" x14ac:dyDescent="0.35">
      <c r="A122" s="195" t="s">
        <v>68</v>
      </c>
      <c r="B122" s="178">
        <f>B17+B$26+$B$31+$B$37+B43</f>
        <v>-5163.5539188332632</v>
      </c>
      <c r="C122" s="179">
        <f>$C$17</f>
        <v>1.4820259038750725</v>
      </c>
      <c r="D122" s="180">
        <f>$D$17+$D$64+$D$74</f>
        <v>3558.1924127077127</v>
      </c>
      <c r="E122" s="263">
        <v>1</v>
      </c>
      <c r="F122" s="178">
        <f>$B122*$E122/1000</f>
        <v>-5.1635539188332631</v>
      </c>
      <c r="G122" s="252">
        <f>$C122*$E122/1000</f>
        <v>1.4820259038750725E-3</v>
      </c>
      <c r="H122" s="180">
        <f>$D122*$E122/1000</f>
        <v>3.5581924127077129</v>
      </c>
    </row>
    <row r="123" spans="1:10" x14ac:dyDescent="0.35">
      <c r="A123" s="196" t="s">
        <v>74</v>
      </c>
      <c r="B123" s="182">
        <f>B$18+B$26+$B$31+$B$37+B44</f>
        <v>-3856.4782669961023</v>
      </c>
      <c r="C123" s="183">
        <f>$C$18</f>
        <v>0.4504809868421053</v>
      </c>
      <c r="D123" s="184">
        <f t="shared" ref="D123:D137" si="10">$D$18+$D$64+$D$74</f>
        <v>2516.3893545553619</v>
      </c>
      <c r="E123" s="185">
        <v>1</v>
      </c>
      <c r="F123" s="182">
        <f t="shared" ref="F123:F137" si="11">$B123*$E123/1000</f>
        <v>-3.8564782669961022</v>
      </c>
      <c r="G123" s="253">
        <f t="shared" ref="G123:G137" si="12">$C123*$E123/1000</f>
        <v>4.5048098684210528E-4</v>
      </c>
      <c r="H123" s="184">
        <f t="shared" ref="H123:H137" si="13">$D123*$E123/1000</f>
        <v>2.5163893545553617</v>
      </c>
    </row>
    <row r="124" spans="1:10" x14ac:dyDescent="0.35">
      <c r="A124" s="197" t="s">
        <v>75</v>
      </c>
      <c r="B124" s="182">
        <f>B$18+B$26+$B$31+$B$37+B45</f>
        <v>-400.87868366276962</v>
      </c>
      <c r="C124" s="183">
        <f t="shared" ref="C124:C137" si="14">$C$18</f>
        <v>0.4504809868421053</v>
      </c>
      <c r="D124" s="184">
        <f t="shared" si="10"/>
        <v>2516.3893545553619</v>
      </c>
      <c r="E124" s="185">
        <v>1</v>
      </c>
      <c r="F124" s="182">
        <f t="shared" si="11"/>
        <v>-0.40087868366276963</v>
      </c>
      <c r="G124" s="253">
        <f t="shared" si="12"/>
        <v>4.5048098684210528E-4</v>
      </c>
      <c r="H124" s="184">
        <f t="shared" si="13"/>
        <v>2.5163893545553617</v>
      </c>
      <c r="J124" s="226"/>
    </row>
    <row r="125" spans="1:10" x14ac:dyDescent="0.35">
      <c r="A125" s="196" t="s">
        <v>76</v>
      </c>
      <c r="B125" s="182">
        <f t="shared" ref="B125:B137" si="15">B$18+B$26+$B$31+$B$37+B$46</f>
        <v>293.45201078167611</v>
      </c>
      <c r="C125" s="183">
        <f t="shared" si="14"/>
        <v>0.4504809868421053</v>
      </c>
      <c r="D125" s="184">
        <f t="shared" si="10"/>
        <v>2516.3893545553619</v>
      </c>
      <c r="E125" s="185">
        <v>1</v>
      </c>
      <c r="F125" s="182">
        <f t="shared" si="11"/>
        <v>0.2934520107816761</v>
      </c>
      <c r="G125" s="253">
        <f t="shared" si="12"/>
        <v>4.5048098684210528E-4</v>
      </c>
      <c r="H125" s="184">
        <f t="shared" si="13"/>
        <v>2.5163893545553617</v>
      </c>
    </row>
    <row r="126" spans="1:10" x14ac:dyDescent="0.35">
      <c r="A126" s="197" t="s">
        <v>77</v>
      </c>
      <c r="B126" s="182">
        <f t="shared" si="15"/>
        <v>293.45201078167611</v>
      </c>
      <c r="C126" s="183">
        <f t="shared" si="14"/>
        <v>0.4504809868421053</v>
      </c>
      <c r="D126" s="184">
        <f t="shared" si="10"/>
        <v>2516.3893545553619</v>
      </c>
      <c r="E126" s="185">
        <v>1</v>
      </c>
      <c r="F126" s="182">
        <f t="shared" si="11"/>
        <v>0.2934520107816761</v>
      </c>
      <c r="G126" s="253">
        <f t="shared" si="12"/>
        <v>4.5048098684210528E-4</v>
      </c>
      <c r="H126" s="184">
        <f t="shared" si="13"/>
        <v>2.5163893545553617</v>
      </c>
    </row>
    <row r="127" spans="1:10" x14ac:dyDescent="0.35">
      <c r="A127" s="196" t="s">
        <v>78</v>
      </c>
      <c r="B127" s="182">
        <f t="shared" si="15"/>
        <v>293.45201078167611</v>
      </c>
      <c r="C127" s="183">
        <f t="shared" si="14"/>
        <v>0.4504809868421053</v>
      </c>
      <c r="D127" s="184">
        <f t="shared" si="10"/>
        <v>2516.3893545553619</v>
      </c>
      <c r="E127" s="185">
        <v>1</v>
      </c>
      <c r="F127" s="182">
        <f t="shared" si="11"/>
        <v>0.2934520107816761</v>
      </c>
      <c r="G127" s="253">
        <f t="shared" si="12"/>
        <v>4.5048098684210528E-4</v>
      </c>
      <c r="H127" s="184">
        <f t="shared" si="13"/>
        <v>2.5163893545553617</v>
      </c>
    </row>
    <row r="128" spans="1:10" x14ac:dyDescent="0.35">
      <c r="A128" s="197" t="s">
        <v>79</v>
      </c>
      <c r="B128" s="182">
        <f t="shared" si="15"/>
        <v>293.45201078167611</v>
      </c>
      <c r="C128" s="183">
        <f t="shared" si="14"/>
        <v>0.4504809868421053</v>
      </c>
      <c r="D128" s="184">
        <f t="shared" si="10"/>
        <v>2516.3893545553619</v>
      </c>
      <c r="E128" s="185">
        <v>1</v>
      </c>
      <c r="F128" s="182">
        <f t="shared" si="11"/>
        <v>0.2934520107816761</v>
      </c>
      <c r="G128" s="253">
        <f t="shared" si="12"/>
        <v>4.5048098684210528E-4</v>
      </c>
      <c r="H128" s="184">
        <f t="shared" si="13"/>
        <v>2.5163893545553617</v>
      </c>
    </row>
    <row r="129" spans="1:13" x14ac:dyDescent="0.35">
      <c r="A129" s="196" t="s">
        <v>80</v>
      </c>
      <c r="B129" s="182">
        <f t="shared" si="15"/>
        <v>293.45201078167611</v>
      </c>
      <c r="C129" s="183">
        <f t="shared" si="14"/>
        <v>0.4504809868421053</v>
      </c>
      <c r="D129" s="184">
        <f t="shared" si="10"/>
        <v>2516.3893545553619</v>
      </c>
      <c r="E129" s="185">
        <v>1</v>
      </c>
      <c r="F129" s="182">
        <f t="shared" si="11"/>
        <v>0.2934520107816761</v>
      </c>
      <c r="G129" s="253">
        <f t="shared" si="12"/>
        <v>4.5048098684210528E-4</v>
      </c>
      <c r="H129" s="184">
        <f t="shared" si="13"/>
        <v>2.5163893545553617</v>
      </c>
      <c r="K129" s="520" t="s">
        <v>672</v>
      </c>
      <c r="L129" s="520"/>
      <c r="M129" s="331" t="s">
        <v>655</v>
      </c>
    </row>
    <row r="130" spans="1:13" x14ac:dyDescent="0.35">
      <c r="A130" s="197" t="s">
        <v>81</v>
      </c>
      <c r="B130" s="182">
        <f t="shared" si="15"/>
        <v>293.45201078167611</v>
      </c>
      <c r="C130" s="183">
        <f t="shared" si="14"/>
        <v>0.4504809868421053</v>
      </c>
      <c r="D130" s="184">
        <f t="shared" si="10"/>
        <v>2516.3893545553619</v>
      </c>
      <c r="E130" s="185">
        <v>1</v>
      </c>
      <c r="F130" s="182">
        <f t="shared" si="11"/>
        <v>0.2934520107816761</v>
      </c>
      <c r="G130" s="253">
        <f t="shared" si="12"/>
        <v>4.5048098684210528E-4</v>
      </c>
      <c r="H130" s="184">
        <f t="shared" si="13"/>
        <v>2.5163893545553617</v>
      </c>
      <c r="K130" s="328" t="s">
        <v>644</v>
      </c>
      <c r="L130" s="338">
        <f>(D17+(D18*15))/16/1000</f>
        <v>0.52007346112355712</v>
      </c>
      <c r="M130" s="332"/>
    </row>
    <row r="131" spans="1:13" x14ac:dyDescent="0.35">
      <c r="A131" s="196" t="s">
        <v>82</v>
      </c>
      <c r="B131" s="182">
        <f t="shared" si="15"/>
        <v>293.45201078167611</v>
      </c>
      <c r="C131" s="183">
        <f t="shared" si="14"/>
        <v>0.4504809868421053</v>
      </c>
      <c r="D131" s="184">
        <f t="shared" si="10"/>
        <v>2516.3893545553619</v>
      </c>
      <c r="E131" s="185">
        <v>1</v>
      </c>
      <c r="F131" s="182">
        <f t="shared" si="11"/>
        <v>0.2934520107816761</v>
      </c>
      <c r="G131" s="253">
        <f t="shared" si="12"/>
        <v>4.5048098684210528E-4</v>
      </c>
      <c r="H131" s="184">
        <f t="shared" si="13"/>
        <v>2.5163893545553617</v>
      </c>
      <c r="K131" s="328" t="s">
        <v>659</v>
      </c>
      <c r="L131" s="329">
        <f>(D64+D74)/1000</f>
        <v>2.0614285845663267</v>
      </c>
      <c r="M131" s="255"/>
    </row>
    <row r="132" spans="1:13" x14ac:dyDescent="0.35">
      <c r="A132" s="197" t="s">
        <v>83</v>
      </c>
      <c r="B132" s="182">
        <f t="shared" si="15"/>
        <v>293.45201078167611</v>
      </c>
      <c r="C132" s="183">
        <f t="shared" si="14"/>
        <v>0.4504809868421053</v>
      </c>
      <c r="D132" s="184">
        <f t="shared" si="10"/>
        <v>2516.3893545553619</v>
      </c>
      <c r="E132" s="185">
        <v>1</v>
      </c>
      <c r="F132" s="182">
        <f t="shared" si="11"/>
        <v>0.2934520107816761</v>
      </c>
      <c r="G132" s="253">
        <f t="shared" si="12"/>
        <v>4.5048098684210528E-4</v>
      </c>
      <c r="H132" s="184">
        <f t="shared" si="13"/>
        <v>2.5163893545553617</v>
      </c>
      <c r="K132" s="336" t="s">
        <v>657</v>
      </c>
      <c r="L132" s="330">
        <f>D64/1000</f>
        <v>2.0075593845663269</v>
      </c>
      <c r="M132" s="337">
        <f>L132*100/L133</f>
        <v>77.767104152335634</v>
      </c>
    </row>
    <row r="133" spans="1:13" x14ac:dyDescent="0.35">
      <c r="A133" s="196" t="s">
        <v>84</v>
      </c>
      <c r="B133" s="182">
        <f t="shared" si="15"/>
        <v>293.45201078167611</v>
      </c>
      <c r="C133" s="183">
        <f t="shared" si="14"/>
        <v>0.4504809868421053</v>
      </c>
      <c r="D133" s="184">
        <f t="shared" si="10"/>
        <v>2516.3893545553619</v>
      </c>
      <c r="E133" s="185">
        <v>1</v>
      </c>
      <c r="F133" s="182">
        <f t="shared" si="11"/>
        <v>0.2934520107816761</v>
      </c>
      <c r="G133" s="253">
        <f t="shared" si="12"/>
        <v>4.5048098684210528E-4</v>
      </c>
      <c r="H133" s="184">
        <f t="shared" si="13"/>
        <v>2.5163893545553617</v>
      </c>
      <c r="K133" s="333" t="s">
        <v>658</v>
      </c>
      <c r="L133" s="334">
        <f>L130+L131</f>
        <v>2.5815020456898838</v>
      </c>
      <c r="M133" s="335"/>
    </row>
    <row r="134" spans="1:13" x14ac:dyDescent="0.35">
      <c r="A134" s="197" t="s">
        <v>85</v>
      </c>
      <c r="B134" s="182">
        <f t="shared" si="15"/>
        <v>293.45201078167611</v>
      </c>
      <c r="C134" s="183">
        <f t="shared" si="14"/>
        <v>0.4504809868421053</v>
      </c>
      <c r="D134" s="184">
        <f t="shared" si="10"/>
        <v>2516.3893545553619</v>
      </c>
      <c r="E134" s="185">
        <v>1</v>
      </c>
      <c r="F134" s="182">
        <f t="shared" si="11"/>
        <v>0.2934520107816761</v>
      </c>
      <c r="G134" s="253">
        <f t="shared" si="12"/>
        <v>4.5048098684210528E-4</v>
      </c>
      <c r="H134" s="184">
        <f t="shared" si="13"/>
        <v>2.5163893545553617</v>
      </c>
    </row>
    <row r="135" spans="1:13" x14ac:dyDescent="0.35">
      <c r="A135" s="196" t="s">
        <v>86</v>
      </c>
      <c r="B135" s="182">
        <f t="shared" si="15"/>
        <v>293.45201078167611</v>
      </c>
      <c r="C135" s="183">
        <f t="shared" si="14"/>
        <v>0.4504809868421053</v>
      </c>
      <c r="D135" s="184">
        <f t="shared" si="10"/>
        <v>2516.3893545553619</v>
      </c>
      <c r="E135" s="185">
        <v>1</v>
      </c>
      <c r="F135" s="182">
        <f t="shared" si="11"/>
        <v>0.2934520107816761</v>
      </c>
      <c r="G135" s="253">
        <f t="shared" si="12"/>
        <v>4.5048098684210528E-4</v>
      </c>
      <c r="H135" s="184">
        <f t="shared" si="13"/>
        <v>2.5163893545553617</v>
      </c>
    </row>
    <row r="136" spans="1:13" x14ac:dyDescent="0.35">
      <c r="A136" s="197" t="s">
        <v>87</v>
      </c>
      <c r="B136" s="182">
        <f t="shared" si="15"/>
        <v>293.45201078167611</v>
      </c>
      <c r="C136" s="183">
        <f t="shared" si="14"/>
        <v>0.4504809868421053</v>
      </c>
      <c r="D136" s="184">
        <f t="shared" si="10"/>
        <v>2516.3893545553619</v>
      </c>
      <c r="E136" s="185">
        <v>1</v>
      </c>
      <c r="F136" s="182">
        <f t="shared" si="11"/>
        <v>0.2934520107816761</v>
      </c>
      <c r="G136" s="253">
        <f t="shared" si="12"/>
        <v>4.5048098684210528E-4</v>
      </c>
      <c r="H136" s="184">
        <f t="shared" si="13"/>
        <v>2.5163893545553617</v>
      </c>
    </row>
    <row r="137" spans="1:13" x14ac:dyDescent="0.35">
      <c r="A137" s="198" t="s">
        <v>88</v>
      </c>
      <c r="B137" s="190">
        <f t="shared" si="15"/>
        <v>293.45201078167611</v>
      </c>
      <c r="C137" s="188">
        <f t="shared" si="14"/>
        <v>0.4504809868421053</v>
      </c>
      <c r="D137" s="189">
        <f t="shared" si="10"/>
        <v>2516.3893545553619</v>
      </c>
      <c r="E137" s="264">
        <v>1</v>
      </c>
      <c r="F137" s="190">
        <f t="shared" si="11"/>
        <v>0.2934520107816761</v>
      </c>
      <c r="G137" s="254">
        <f t="shared" si="12"/>
        <v>4.5048098684210528E-4</v>
      </c>
      <c r="H137" s="189">
        <f t="shared" si="13"/>
        <v>2.5163893545553617</v>
      </c>
    </row>
    <row r="138" spans="1:13" x14ac:dyDescent="0.35">
      <c r="A138" s="191" t="s">
        <v>62</v>
      </c>
      <c r="B138" s="305">
        <f>SUM(B122:B137)/16</f>
        <v>-350.37717058314678</v>
      </c>
      <c r="C138" s="193"/>
      <c r="D138" s="306">
        <f>SUM(D122:D137)/16</f>
        <v>2581.5020456898837</v>
      </c>
      <c r="E138" s="194"/>
      <c r="F138" s="225">
        <f>SUM(F122:F137)</f>
        <v>-5.606034729330343</v>
      </c>
      <c r="G138" s="342">
        <f t="shared" ref="G138" si="16">SUM(G122:G137)</f>
        <v>8.2392407065066502E-3</v>
      </c>
      <c r="H138" s="261">
        <f t="shared" ref="H138" si="17">SUM(H122:H137)</f>
        <v>41.304032731038149</v>
      </c>
      <c r="I138" s="250">
        <f>F138+G138+H138</f>
        <v>35.706237242414311</v>
      </c>
    </row>
    <row r="139" spans="1:13" x14ac:dyDescent="0.35">
      <c r="A139" s="321"/>
      <c r="B139" s="314"/>
      <c r="C139" s="322"/>
      <c r="D139" s="314"/>
      <c r="E139" s="322"/>
      <c r="F139" s="526" t="s">
        <v>673</v>
      </c>
      <c r="G139" s="527"/>
      <c r="H139" s="528"/>
      <c r="I139" s="139"/>
    </row>
    <row r="140" spans="1:13" x14ac:dyDescent="0.35">
      <c r="A140" s="321"/>
      <c r="B140" s="314"/>
      <c r="C140" s="322"/>
      <c r="D140" s="314"/>
      <c r="E140" s="322"/>
      <c r="F140" s="162" t="s">
        <v>63</v>
      </c>
      <c r="G140" s="163" t="s">
        <v>64</v>
      </c>
      <c r="H140" s="164" t="s">
        <v>65</v>
      </c>
      <c r="I140" s="251" t="s">
        <v>62</v>
      </c>
    </row>
    <row r="141" spans="1:13" x14ac:dyDescent="0.35">
      <c r="A141" s="11"/>
      <c r="B141" s="11"/>
      <c r="C141" s="11"/>
      <c r="D141" s="11"/>
      <c r="E141" s="319" t="s">
        <v>653</v>
      </c>
      <c r="F141" s="178">
        <f>F138/16</f>
        <v>-0.35037717058314644</v>
      </c>
      <c r="G141" s="179">
        <f>G138/16</f>
        <v>5.1495254415666564E-4</v>
      </c>
      <c r="H141" s="139">
        <f>H138/16</f>
        <v>2.5815020456898843</v>
      </c>
      <c r="I141" s="320">
        <f>I138/16</f>
        <v>2.2316398276508944</v>
      </c>
    </row>
    <row r="142" spans="1:13" x14ac:dyDescent="0.35">
      <c r="A142" s="11"/>
      <c r="B142" s="11"/>
      <c r="C142" s="11"/>
      <c r="D142" s="11"/>
      <c r="E142" s="316" t="s">
        <v>605</v>
      </c>
      <c r="F142" s="324"/>
      <c r="G142" s="325"/>
      <c r="H142" s="262">
        <f>H141*1000</f>
        <v>2581.5020456898842</v>
      </c>
      <c r="I142" s="318"/>
    </row>
    <row r="143" spans="1:13" x14ac:dyDescent="0.35">
      <c r="A143" s="11"/>
      <c r="B143" s="11"/>
      <c r="C143" s="11"/>
      <c r="D143" s="11"/>
      <c r="E143" s="11"/>
      <c r="F143" s="239"/>
      <c r="G143" s="11"/>
      <c r="H143" s="239"/>
      <c r="I143" s="239"/>
    </row>
    <row r="144" spans="1:13" x14ac:dyDescent="0.35">
      <c r="A144" s="280" t="s">
        <v>29</v>
      </c>
      <c r="B144" s="515" t="s">
        <v>60</v>
      </c>
      <c r="C144" s="516"/>
      <c r="D144" s="517"/>
      <c r="E144" s="518" t="s">
        <v>61</v>
      </c>
      <c r="F144" s="515" t="s">
        <v>59</v>
      </c>
      <c r="G144" s="516"/>
      <c r="H144" s="517"/>
    </row>
    <row r="145" spans="1:13" x14ac:dyDescent="0.35">
      <c r="A145" s="161" t="s">
        <v>67</v>
      </c>
      <c r="B145" s="162" t="s">
        <v>63</v>
      </c>
      <c r="C145" s="163" t="s">
        <v>64</v>
      </c>
      <c r="D145" s="164" t="s">
        <v>65</v>
      </c>
      <c r="E145" s="519"/>
      <c r="F145" s="162" t="s">
        <v>63</v>
      </c>
      <c r="G145" s="163" t="s">
        <v>64</v>
      </c>
      <c r="H145" s="164" t="s">
        <v>65</v>
      </c>
    </row>
    <row r="146" spans="1:13" x14ac:dyDescent="0.35">
      <c r="A146" s="195" t="s">
        <v>68</v>
      </c>
      <c r="B146" s="178">
        <f>B19+B$27+$B$32+$B$37+B47</f>
        <v>-10657.218643531149</v>
      </c>
      <c r="C146" s="179">
        <f>$C$19</f>
        <v>1.7335201452543827</v>
      </c>
      <c r="D146" s="180">
        <f>$D$19+$D$65+$D$75</f>
        <v>3821.4285612821895</v>
      </c>
      <c r="E146" s="263">
        <v>1</v>
      </c>
      <c r="F146" s="178">
        <f>$B146*$E146/1000</f>
        <v>-10.657218643531149</v>
      </c>
      <c r="G146" s="252">
        <f>$C146*$E146/1000</f>
        <v>1.7335201452543826E-3</v>
      </c>
      <c r="H146" s="180">
        <f>$D146*$E146/1000</f>
        <v>3.8214285612821897</v>
      </c>
    </row>
    <row r="147" spans="1:13" x14ac:dyDescent="0.35">
      <c r="A147" s="196" t="s">
        <v>74</v>
      </c>
      <c r="B147" s="182">
        <f>B$20+B$27+$B$32+$B$37+B48</f>
        <v>-7978.3882502753768</v>
      </c>
      <c r="C147" s="183">
        <f>$C$20</f>
        <v>0.61739444493968199</v>
      </c>
      <c r="D147" s="184">
        <f t="shared" ref="D147:D161" si="18">$D$20+$D$65+$D$75</f>
        <v>2694.2036109476931</v>
      </c>
      <c r="E147" s="185">
        <v>1</v>
      </c>
      <c r="F147" s="182">
        <f>$B147*$E147/1000</f>
        <v>-7.9783882502753771</v>
      </c>
      <c r="G147" s="253">
        <f t="shared" ref="G147:G161" si="19">$C147*$E147/1000</f>
        <v>6.1739444493968195E-4</v>
      </c>
      <c r="H147" s="184">
        <f t="shared" ref="H147:H161" si="20">$D147*$E147/1000</f>
        <v>2.6942036109476932</v>
      </c>
    </row>
    <row r="148" spans="1:13" x14ac:dyDescent="0.35">
      <c r="A148" s="197" t="s">
        <v>75</v>
      </c>
      <c r="B148" s="182">
        <f>B$20+B$27+$B$32+$B$37+B49</f>
        <v>-6698.8933058309312</v>
      </c>
      <c r="C148" s="183">
        <f t="shared" ref="C148:C161" si="21">$C$20</f>
        <v>0.61739444493968199</v>
      </c>
      <c r="D148" s="184">
        <f t="shared" si="18"/>
        <v>2694.2036109476931</v>
      </c>
      <c r="E148" s="185">
        <v>1</v>
      </c>
      <c r="F148" s="182">
        <f t="shared" ref="F148:F161" si="22">$B148*$E148/1000</f>
        <v>-6.6988933058309312</v>
      </c>
      <c r="G148" s="253">
        <f t="shared" si="19"/>
        <v>6.1739444493968195E-4</v>
      </c>
      <c r="H148" s="184">
        <f t="shared" si="20"/>
        <v>2.6942036109476932</v>
      </c>
    </row>
    <row r="149" spans="1:13" x14ac:dyDescent="0.35">
      <c r="A149" s="196" t="s">
        <v>76</v>
      </c>
      <c r="B149" s="182">
        <f>B$20+B$27+$B$32+$B$37+B$50</f>
        <v>-6366.4172669420423</v>
      </c>
      <c r="C149" s="183">
        <f t="shared" si="21"/>
        <v>0.61739444493968199</v>
      </c>
      <c r="D149" s="184">
        <f t="shared" si="18"/>
        <v>2694.2036109476931</v>
      </c>
      <c r="E149" s="185">
        <v>1</v>
      </c>
      <c r="F149" s="182">
        <f t="shared" si="22"/>
        <v>-6.366417266942042</v>
      </c>
      <c r="G149" s="253">
        <f t="shared" si="19"/>
        <v>6.1739444493968195E-4</v>
      </c>
      <c r="H149" s="184">
        <f t="shared" si="20"/>
        <v>2.6942036109476932</v>
      </c>
      <c r="K149" s="520" t="s">
        <v>672</v>
      </c>
      <c r="L149" s="520"/>
      <c r="M149" s="331" t="s">
        <v>655</v>
      </c>
    </row>
    <row r="150" spans="1:13" x14ac:dyDescent="0.35">
      <c r="A150" s="197" t="s">
        <v>77</v>
      </c>
      <c r="B150" s="182">
        <f t="shared" ref="B150:B161" si="23">B$20+B$27+$B$33+$B$37+B$50</f>
        <v>2846.1296784225392</v>
      </c>
      <c r="C150" s="183">
        <f t="shared" si="21"/>
        <v>0.61739444493968199</v>
      </c>
      <c r="D150" s="184">
        <f t="shared" si="18"/>
        <v>2694.2036109476931</v>
      </c>
      <c r="E150" s="185">
        <v>1</v>
      </c>
      <c r="F150" s="182">
        <f t="shared" si="22"/>
        <v>2.8461296784225394</v>
      </c>
      <c r="G150" s="253">
        <f t="shared" si="19"/>
        <v>6.1739444493968195E-4</v>
      </c>
      <c r="H150" s="184">
        <f t="shared" si="20"/>
        <v>2.6942036109476932</v>
      </c>
      <c r="K150" s="328" t="s">
        <v>644</v>
      </c>
      <c r="L150" s="338">
        <f>(D19+(D20*15))/16/1000</f>
        <v>0.69398564909359928</v>
      </c>
      <c r="M150" s="332"/>
    </row>
    <row r="151" spans="1:13" x14ac:dyDescent="0.35">
      <c r="A151" s="196" t="s">
        <v>78</v>
      </c>
      <c r="B151" s="182">
        <f t="shared" si="23"/>
        <v>2846.1296784225392</v>
      </c>
      <c r="C151" s="183">
        <f t="shared" si="21"/>
        <v>0.61739444493968199</v>
      </c>
      <c r="D151" s="184">
        <f t="shared" si="18"/>
        <v>2694.2036109476931</v>
      </c>
      <c r="E151" s="185">
        <v>1</v>
      </c>
      <c r="F151" s="182">
        <f t="shared" si="22"/>
        <v>2.8461296784225394</v>
      </c>
      <c r="G151" s="253">
        <f t="shared" si="19"/>
        <v>6.1739444493968195E-4</v>
      </c>
      <c r="H151" s="184">
        <f t="shared" si="20"/>
        <v>2.6942036109476932</v>
      </c>
      <c r="K151" s="328" t="s">
        <v>659</v>
      </c>
      <c r="L151" s="329">
        <f>(D65+D75)/1000</f>
        <v>2.0706695212499993</v>
      </c>
      <c r="M151" s="255"/>
    </row>
    <row r="152" spans="1:13" x14ac:dyDescent="0.35">
      <c r="A152" s="197" t="s">
        <v>79</v>
      </c>
      <c r="B152" s="182">
        <f t="shared" si="23"/>
        <v>2846.1296784225392</v>
      </c>
      <c r="C152" s="183">
        <f t="shared" si="21"/>
        <v>0.61739444493968199</v>
      </c>
      <c r="D152" s="184">
        <f t="shared" si="18"/>
        <v>2694.2036109476931</v>
      </c>
      <c r="E152" s="185">
        <v>1</v>
      </c>
      <c r="F152" s="182">
        <f t="shared" si="22"/>
        <v>2.8461296784225394</v>
      </c>
      <c r="G152" s="253">
        <f t="shared" si="19"/>
        <v>6.1739444493968195E-4</v>
      </c>
      <c r="H152" s="184">
        <f t="shared" si="20"/>
        <v>2.6942036109476932</v>
      </c>
      <c r="K152" s="336" t="s">
        <v>657</v>
      </c>
      <c r="L152" s="330">
        <f>D65/1000</f>
        <v>2.0065395212499997</v>
      </c>
      <c r="M152" s="337">
        <f>L152*100/L153</f>
        <v>72.578292684531121</v>
      </c>
    </row>
    <row r="153" spans="1:13" x14ac:dyDescent="0.35">
      <c r="A153" s="196" t="s">
        <v>80</v>
      </c>
      <c r="B153" s="182">
        <f t="shared" si="23"/>
        <v>2846.1296784225392</v>
      </c>
      <c r="C153" s="183">
        <f t="shared" si="21"/>
        <v>0.61739444493968199</v>
      </c>
      <c r="D153" s="184">
        <f t="shared" si="18"/>
        <v>2694.2036109476931</v>
      </c>
      <c r="E153" s="185">
        <v>1</v>
      </c>
      <c r="F153" s="182">
        <f t="shared" si="22"/>
        <v>2.8461296784225394</v>
      </c>
      <c r="G153" s="253">
        <f t="shared" si="19"/>
        <v>6.1739444493968195E-4</v>
      </c>
      <c r="H153" s="184">
        <f t="shared" si="20"/>
        <v>2.6942036109476932</v>
      </c>
      <c r="K153" s="333" t="s">
        <v>658</v>
      </c>
      <c r="L153" s="334">
        <f>L150+L151</f>
        <v>2.7646551703435986</v>
      </c>
      <c r="M153" s="335"/>
    </row>
    <row r="154" spans="1:13" x14ac:dyDescent="0.35">
      <c r="A154" s="197" t="s">
        <v>81</v>
      </c>
      <c r="B154" s="182">
        <f t="shared" si="23"/>
        <v>2846.1296784225392</v>
      </c>
      <c r="C154" s="183">
        <f t="shared" si="21"/>
        <v>0.61739444493968199</v>
      </c>
      <c r="D154" s="184">
        <f t="shared" si="18"/>
        <v>2694.2036109476931</v>
      </c>
      <c r="E154" s="185">
        <v>1</v>
      </c>
      <c r="F154" s="182">
        <f t="shared" si="22"/>
        <v>2.8461296784225394</v>
      </c>
      <c r="G154" s="253">
        <f t="shared" si="19"/>
        <v>6.1739444493968195E-4</v>
      </c>
      <c r="H154" s="184">
        <f t="shared" si="20"/>
        <v>2.6942036109476932</v>
      </c>
    </row>
    <row r="155" spans="1:13" x14ac:dyDescent="0.35">
      <c r="A155" s="196" t="s">
        <v>82</v>
      </c>
      <c r="B155" s="182">
        <f t="shared" si="23"/>
        <v>2846.1296784225392</v>
      </c>
      <c r="C155" s="183">
        <f t="shared" si="21"/>
        <v>0.61739444493968199</v>
      </c>
      <c r="D155" s="184">
        <f t="shared" si="18"/>
        <v>2694.2036109476931</v>
      </c>
      <c r="E155" s="185">
        <v>1</v>
      </c>
      <c r="F155" s="182">
        <f t="shared" si="22"/>
        <v>2.8461296784225394</v>
      </c>
      <c r="G155" s="253">
        <f t="shared" si="19"/>
        <v>6.1739444493968195E-4</v>
      </c>
      <c r="H155" s="184">
        <f t="shared" si="20"/>
        <v>2.6942036109476932</v>
      </c>
      <c r="K155" s="11"/>
    </row>
    <row r="156" spans="1:13" x14ac:dyDescent="0.35">
      <c r="A156" s="197" t="s">
        <v>83</v>
      </c>
      <c r="B156" s="182">
        <f t="shared" si="23"/>
        <v>2846.1296784225392</v>
      </c>
      <c r="C156" s="183">
        <f t="shared" si="21"/>
        <v>0.61739444493968199</v>
      </c>
      <c r="D156" s="184">
        <f t="shared" si="18"/>
        <v>2694.2036109476931</v>
      </c>
      <c r="E156" s="185">
        <v>1</v>
      </c>
      <c r="F156" s="182">
        <f t="shared" si="22"/>
        <v>2.8461296784225394</v>
      </c>
      <c r="G156" s="253">
        <f t="shared" si="19"/>
        <v>6.1739444493968195E-4</v>
      </c>
      <c r="H156" s="184">
        <f t="shared" si="20"/>
        <v>2.6942036109476932</v>
      </c>
    </row>
    <row r="157" spans="1:13" x14ac:dyDescent="0.35">
      <c r="A157" s="196" t="s">
        <v>84</v>
      </c>
      <c r="B157" s="182">
        <f t="shared" si="23"/>
        <v>2846.1296784225392</v>
      </c>
      <c r="C157" s="183">
        <f t="shared" si="21"/>
        <v>0.61739444493968199</v>
      </c>
      <c r="D157" s="184">
        <f t="shared" si="18"/>
        <v>2694.2036109476931</v>
      </c>
      <c r="E157" s="185">
        <v>1</v>
      </c>
      <c r="F157" s="182">
        <f t="shared" si="22"/>
        <v>2.8461296784225394</v>
      </c>
      <c r="G157" s="253">
        <f t="shared" si="19"/>
        <v>6.1739444493968195E-4</v>
      </c>
      <c r="H157" s="184">
        <f t="shared" si="20"/>
        <v>2.6942036109476932</v>
      </c>
    </row>
    <row r="158" spans="1:13" x14ac:dyDescent="0.35">
      <c r="A158" s="197" t="s">
        <v>85</v>
      </c>
      <c r="B158" s="182">
        <f t="shared" si="23"/>
        <v>2846.1296784225392</v>
      </c>
      <c r="C158" s="183">
        <f t="shared" si="21"/>
        <v>0.61739444493968199</v>
      </c>
      <c r="D158" s="184">
        <f t="shared" si="18"/>
        <v>2694.2036109476931</v>
      </c>
      <c r="E158" s="185">
        <v>1</v>
      </c>
      <c r="F158" s="182">
        <f t="shared" si="22"/>
        <v>2.8461296784225394</v>
      </c>
      <c r="G158" s="253">
        <f t="shared" si="19"/>
        <v>6.1739444493968195E-4</v>
      </c>
      <c r="H158" s="184">
        <f t="shared" si="20"/>
        <v>2.6942036109476932</v>
      </c>
    </row>
    <row r="159" spans="1:13" x14ac:dyDescent="0.35">
      <c r="A159" s="196" t="s">
        <v>86</v>
      </c>
      <c r="B159" s="182">
        <f t="shared" si="23"/>
        <v>2846.1296784225392</v>
      </c>
      <c r="C159" s="183">
        <f t="shared" si="21"/>
        <v>0.61739444493968199</v>
      </c>
      <c r="D159" s="184">
        <f t="shared" si="18"/>
        <v>2694.2036109476931</v>
      </c>
      <c r="E159" s="185">
        <v>1</v>
      </c>
      <c r="F159" s="182">
        <f t="shared" si="22"/>
        <v>2.8461296784225394</v>
      </c>
      <c r="G159" s="253">
        <f t="shared" si="19"/>
        <v>6.1739444493968195E-4</v>
      </c>
      <c r="H159" s="184">
        <f t="shared" si="20"/>
        <v>2.6942036109476932</v>
      </c>
    </row>
    <row r="160" spans="1:13" x14ac:dyDescent="0.35">
      <c r="A160" s="197" t="s">
        <v>87</v>
      </c>
      <c r="B160" s="182">
        <f t="shared" si="23"/>
        <v>2846.1296784225392</v>
      </c>
      <c r="C160" s="183">
        <f t="shared" si="21"/>
        <v>0.61739444493968199</v>
      </c>
      <c r="D160" s="184">
        <f t="shared" si="18"/>
        <v>2694.2036109476931</v>
      </c>
      <c r="E160" s="185">
        <v>1</v>
      </c>
      <c r="F160" s="182">
        <f t="shared" si="22"/>
        <v>2.8461296784225394</v>
      </c>
      <c r="G160" s="253">
        <f t="shared" si="19"/>
        <v>6.1739444493968195E-4</v>
      </c>
      <c r="H160" s="184">
        <f t="shared" si="20"/>
        <v>2.6942036109476932</v>
      </c>
    </row>
    <row r="161" spans="1:13" x14ac:dyDescent="0.35">
      <c r="A161" s="198" t="s">
        <v>88</v>
      </c>
      <c r="B161" s="182">
        <f t="shared" si="23"/>
        <v>2846.1296784225392</v>
      </c>
      <c r="C161" s="188">
        <f t="shared" si="21"/>
        <v>0.61739444493968199</v>
      </c>
      <c r="D161" s="189">
        <f t="shared" si="18"/>
        <v>2694.2036109476931</v>
      </c>
      <c r="E161" s="264">
        <v>1</v>
      </c>
      <c r="F161" s="190">
        <f t="shared" si="22"/>
        <v>2.8461296784225394</v>
      </c>
      <c r="G161" s="254">
        <f t="shared" si="19"/>
        <v>6.1739444493968195E-4</v>
      </c>
      <c r="H161" s="189">
        <f t="shared" si="20"/>
        <v>2.6942036109476932</v>
      </c>
    </row>
    <row r="162" spans="1:13" x14ac:dyDescent="0.35">
      <c r="A162" s="191" t="s">
        <v>62</v>
      </c>
      <c r="B162" s="192"/>
      <c r="C162" s="193"/>
      <c r="D162" s="193"/>
      <c r="E162" s="194"/>
      <c r="F162" s="225">
        <f>SUM(F146:F161)</f>
        <v>2.4526386744909714</v>
      </c>
      <c r="G162" s="341">
        <f t="shared" ref="G162" si="24">SUM(G146:G161)</f>
        <v>1.0994436819349614E-2</v>
      </c>
      <c r="H162" s="261">
        <f t="shared" ref="H162" si="25">SUM(H146:H161)</f>
        <v>44.234482725497593</v>
      </c>
      <c r="I162" s="250">
        <f>F162+G162+H162</f>
        <v>46.698115836807915</v>
      </c>
    </row>
    <row r="163" spans="1:13" x14ac:dyDescent="0.35">
      <c r="A163" s="321"/>
      <c r="B163" s="322"/>
      <c r="C163" s="322"/>
      <c r="D163" s="322"/>
      <c r="E163" s="322"/>
      <c r="F163" s="526" t="s">
        <v>673</v>
      </c>
      <c r="G163" s="527"/>
      <c r="H163" s="528"/>
      <c r="I163" s="139"/>
    </row>
    <row r="164" spans="1:13" x14ac:dyDescent="0.35">
      <c r="A164" s="321"/>
      <c r="B164" s="322"/>
      <c r="C164" s="322"/>
      <c r="D164" s="322"/>
      <c r="E164" s="322"/>
      <c r="F164" s="162" t="s">
        <v>63</v>
      </c>
      <c r="G164" s="163" t="s">
        <v>64</v>
      </c>
      <c r="H164" s="164" t="s">
        <v>65</v>
      </c>
      <c r="I164" s="251" t="s">
        <v>62</v>
      </c>
    </row>
    <row r="165" spans="1:13" x14ac:dyDescent="0.35">
      <c r="A165" s="11"/>
      <c r="B165" s="11"/>
      <c r="C165" s="11"/>
      <c r="D165" s="11"/>
      <c r="E165" s="319" t="s">
        <v>653</v>
      </c>
      <c r="F165" s="178">
        <f>F162/16</f>
        <v>0.15328991715568571</v>
      </c>
      <c r="G165" s="179">
        <f>G162/16</f>
        <v>6.8715230120935087E-4</v>
      </c>
      <c r="H165" s="139">
        <f>H162/16</f>
        <v>2.7646551703435995</v>
      </c>
      <c r="I165" s="320">
        <f>I162/16</f>
        <v>2.9186322398004947</v>
      </c>
    </row>
    <row r="166" spans="1:13" x14ac:dyDescent="0.35">
      <c r="A166" s="11"/>
      <c r="B166" s="11"/>
      <c r="C166" s="11"/>
      <c r="D166" s="11"/>
      <c r="E166" s="316" t="s">
        <v>605</v>
      </c>
      <c r="F166" s="324"/>
      <c r="G166" s="325"/>
      <c r="H166" s="262"/>
      <c r="I166" s="318"/>
    </row>
    <row r="167" spans="1:13" x14ac:dyDescent="0.35">
      <c r="A167" s="11"/>
      <c r="B167" s="11"/>
      <c r="C167" s="11"/>
      <c r="D167" s="11"/>
      <c r="E167" s="11"/>
      <c r="F167" s="239"/>
      <c r="G167" s="148"/>
      <c r="H167" s="11"/>
      <c r="I167" s="239"/>
    </row>
    <row r="168" spans="1:13" x14ac:dyDescent="0.35">
      <c r="A168" s="280" t="s">
        <v>30</v>
      </c>
      <c r="B168" s="515" t="s">
        <v>60</v>
      </c>
      <c r="C168" s="516"/>
      <c r="D168" s="517"/>
      <c r="E168" s="518" t="s">
        <v>61</v>
      </c>
      <c r="F168" s="515" t="s">
        <v>59</v>
      </c>
      <c r="G168" s="516"/>
      <c r="H168" s="517"/>
    </row>
    <row r="169" spans="1:13" x14ac:dyDescent="0.35">
      <c r="A169" s="161" t="s">
        <v>67</v>
      </c>
      <c r="B169" s="162" t="s">
        <v>63</v>
      </c>
      <c r="C169" s="163" t="s">
        <v>64</v>
      </c>
      <c r="D169" s="164" t="s">
        <v>65</v>
      </c>
      <c r="E169" s="519"/>
      <c r="F169" s="162" t="s">
        <v>63</v>
      </c>
      <c r="G169" s="163" t="s">
        <v>64</v>
      </c>
      <c r="H169" s="164" t="s">
        <v>65</v>
      </c>
    </row>
    <row r="170" spans="1:13" x14ac:dyDescent="0.35">
      <c r="A170" s="195" t="s">
        <v>68</v>
      </c>
      <c r="B170" s="178">
        <f>B21+B$28+$B$34+$B$37+B51</f>
        <v>-3273.1000851186445</v>
      </c>
      <c r="C170" s="179">
        <f>$C$21</f>
        <v>1.3403812897196736</v>
      </c>
      <c r="D170" s="180">
        <f>$D$21+$D$66+$D$76</f>
        <v>3547.1136900508882</v>
      </c>
      <c r="E170" s="263">
        <v>1</v>
      </c>
      <c r="F170" s="178">
        <f>$B170*$E170/1000</f>
        <v>-3.2731000851186445</v>
      </c>
      <c r="G170" s="252">
        <f>$C170*$E170/1000</f>
        <v>1.3403812897196737E-3</v>
      </c>
      <c r="H170" s="180">
        <f>$D170*$E170/1000</f>
        <v>3.5471136900508884</v>
      </c>
    </row>
    <row r="171" spans="1:13" x14ac:dyDescent="0.35">
      <c r="A171" s="196" t="s">
        <v>74</v>
      </c>
      <c r="B171" s="182">
        <f>B$22+B$28+$B$34+$B$37+B52</f>
        <v>-3479.3682319343761</v>
      </c>
      <c r="C171" s="183">
        <f>$C$22</f>
        <v>0.61739444493968199</v>
      </c>
      <c r="D171" s="184">
        <f t="shared" ref="D171:D185" si="26">$D$22+$D$66+$D$76</f>
        <v>2816.9371427589176</v>
      </c>
      <c r="E171" s="185">
        <v>1</v>
      </c>
      <c r="F171" s="182">
        <f t="shared" ref="F171:F185" si="27">$B171*$E171/1000</f>
        <v>-3.4793682319343762</v>
      </c>
      <c r="G171" s="253">
        <f t="shared" ref="G171:G185" si="28">$C171*$E171/1000</f>
        <v>6.1739444493968195E-4</v>
      </c>
      <c r="H171" s="184">
        <f t="shared" ref="H171:H185" si="29">$D171*$E171/1000</f>
        <v>2.8169371427589178</v>
      </c>
    </row>
    <row r="172" spans="1:13" x14ac:dyDescent="0.35">
      <c r="A172" s="197" t="s">
        <v>75</v>
      </c>
      <c r="B172" s="182">
        <f>B$22+B$28+$B$34+$B$37+B53</f>
        <v>-3479.3682319343761</v>
      </c>
      <c r="C172" s="183">
        <f t="shared" ref="C172:C185" si="30">$C$22</f>
        <v>0.61739444493968199</v>
      </c>
      <c r="D172" s="184">
        <f t="shared" si="26"/>
        <v>2816.9371427589176</v>
      </c>
      <c r="E172" s="185">
        <v>1</v>
      </c>
      <c r="F172" s="182">
        <f t="shared" si="27"/>
        <v>-3.4793682319343762</v>
      </c>
      <c r="G172" s="253">
        <f t="shared" si="28"/>
        <v>6.1739444493968195E-4</v>
      </c>
      <c r="H172" s="184">
        <f t="shared" si="29"/>
        <v>2.8169371427589178</v>
      </c>
    </row>
    <row r="173" spans="1:13" x14ac:dyDescent="0.35">
      <c r="A173" s="196" t="s">
        <v>76</v>
      </c>
      <c r="B173" s="182">
        <f>B$22+B$28+$B$34+$B$37+B54</f>
        <v>-3479.3682319343761</v>
      </c>
      <c r="C173" s="183">
        <f t="shared" si="30"/>
        <v>0.61739444493968199</v>
      </c>
      <c r="D173" s="184">
        <f t="shared" si="26"/>
        <v>2816.9371427589176</v>
      </c>
      <c r="E173" s="185">
        <v>1</v>
      </c>
      <c r="F173" s="182">
        <f t="shared" si="27"/>
        <v>-3.4793682319343762</v>
      </c>
      <c r="G173" s="253">
        <f t="shared" si="28"/>
        <v>6.1739444493968195E-4</v>
      </c>
      <c r="H173" s="184">
        <f t="shared" si="29"/>
        <v>2.8169371427589178</v>
      </c>
    </row>
    <row r="174" spans="1:13" x14ac:dyDescent="0.35">
      <c r="A174" s="197" t="s">
        <v>77</v>
      </c>
      <c r="B174" s="182">
        <f t="shared" ref="B174:B185" si="31">B$22+B$28+$B$34+$B$37+B$55</f>
        <v>-3479.3682319343761</v>
      </c>
      <c r="C174" s="183">
        <f t="shared" si="30"/>
        <v>0.61739444493968199</v>
      </c>
      <c r="D174" s="184">
        <f t="shared" si="26"/>
        <v>2816.9371427589176</v>
      </c>
      <c r="E174" s="185">
        <v>1</v>
      </c>
      <c r="F174" s="182">
        <f t="shared" si="27"/>
        <v>-3.4793682319343762</v>
      </c>
      <c r="G174" s="253">
        <f t="shared" si="28"/>
        <v>6.1739444493968195E-4</v>
      </c>
      <c r="H174" s="184">
        <f t="shared" si="29"/>
        <v>2.8169371427589178</v>
      </c>
    </row>
    <row r="175" spans="1:13" x14ac:dyDescent="0.35">
      <c r="A175" s="196" t="s">
        <v>78</v>
      </c>
      <c r="B175" s="182">
        <f t="shared" si="31"/>
        <v>-3479.3682319343761</v>
      </c>
      <c r="C175" s="183">
        <f t="shared" si="30"/>
        <v>0.61739444493968199</v>
      </c>
      <c r="D175" s="184">
        <f t="shared" si="26"/>
        <v>2816.9371427589176</v>
      </c>
      <c r="E175" s="185">
        <v>1</v>
      </c>
      <c r="F175" s="182">
        <f t="shared" si="27"/>
        <v>-3.4793682319343762</v>
      </c>
      <c r="G175" s="253">
        <f t="shared" si="28"/>
        <v>6.1739444493968195E-4</v>
      </c>
      <c r="H175" s="184">
        <f t="shared" si="29"/>
        <v>2.8169371427589178</v>
      </c>
    </row>
    <row r="176" spans="1:13" x14ac:dyDescent="0.35">
      <c r="A176" s="197" t="s">
        <v>79</v>
      </c>
      <c r="B176" s="182">
        <f t="shared" si="31"/>
        <v>-3479.3682319343761</v>
      </c>
      <c r="C176" s="183">
        <f t="shared" si="30"/>
        <v>0.61739444493968199</v>
      </c>
      <c r="D176" s="184">
        <f t="shared" si="26"/>
        <v>2816.9371427589176</v>
      </c>
      <c r="E176" s="185">
        <v>1</v>
      </c>
      <c r="F176" s="182">
        <f t="shared" si="27"/>
        <v>-3.4793682319343762</v>
      </c>
      <c r="G176" s="253">
        <f t="shared" si="28"/>
        <v>6.1739444493968195E-4</v>
      </c>
      <c r="H176" s="184">
        <f t="shared" si="29"/>
        <v>2.8169371427589178</v>
      </c>
      <c r="K176" s="520" t="s">
        <v>672</v>
      </c>
      <c r="L176" s="520"/>
      <c r="M176" s="331" t="s">
        <v>655</v>
      </c>
    </row>
    <row r="177" spans="1:13" x14ac:dyDescent="0.35">
      <c r="A177" s="196" t="s">
        <v>80</v>
      </c>
      <c r="B177" s="182">
        <f t="shared" si="31"/>
        <v>-3479.3682319343761</v>
      </c>
      <c r="C177" s="183">
        <f t="shared" si="30"/>
        <v>0.61739444493968199</v>
      </c>
      <c r="D177" s="184">
        <f t="shared" si="26"/>
        <v>2816.9371427589176</v>
      </c>
      <c r="E177" s="185">
        <v>1</v>
      </c>
      <c r="F177" s="182">
        <f t="shared" si="27"/>
        <v>-3.4793682319343762</v>
      </c>
      <c r="G177" s="253">
        <f t="shared" si="28"/>
        <v>6.1739444493968195E-4</v>
      </c>
      <c r="H177" s="184">
        <f t="shared" si="29"/>
        <v>2.8169371427589178</v>
      </c>
      <c r="K177" s="328" t="s">
        <v>644</v>
      </c>
      <c r="L177" s="338">
        <f>(D21+(D22*15))/16/1000</f>
        <v>0.66917012390344144</v>
      </c>
      <c r="M177" s="332"/>
    </row>
    <row r="178" spans="1:13" x14ac:dyDescent="0.35">
      <c r="A178" s="197" t="s">
        <v>81</v>
      </c>
      <c r="B178" s="182">
        <f t="shared" si="31"/>
        <v>-3479.3682319343761</v>
      </c>
      <c r="C178" s="183">
        <f t="shared" si="30"/>
        <v>0.61739444493968199</v>
      </c>
      <c r="D178" s="184">
        <f t="shared" si="26"/>
        <v>2816.9371427589176</v>
      </c>
      <c r="E178" s="185">
        <v>1</v>
      </c>
      <c r="F178" s="182">
        <f t="shared" si="27"/>
        <v>-3.4793682319343762</v>
      </c>
      <c r="G178" s="253">
        <f t="shared" si="28"/>
        <v>6.1739444493968195E-4</v>
      </c>
      <c r="H178" s="184">
        <f t="shared" si="29"/>
        <v>2.8169371427589178</v>
      </c>
      <c r="K178" s="328" t="s">
        <v>659</v>
      </c>
      <c r="L178" s="329">
        <f>(D66+D76)/1000</f>
        <v>2.1934030530612243</v>
      </c>
      <c r="M178" s="255"/>
    </row>
    <row r="179" spans="1:13" x14ac:dyDescent="0.35">
      <c r="A179" s="196" t="s">
        <v>82</v>
      </c>
      <c r="B179" s="182">
        <f t="shared" si="31"/>
        <v>-3479.3682319343761</v>
      </c>
      <c r="C179" s="183">
        <f t="shared" si="30"/>
        <v>0.61739444493968199</v>
      </c>
      <c r="D179" s="184">
        <f t="shared" si="26"/>
        <v>2816.9371427589176</v>
      </c>
      <c r="E179" s="185">
        <v>1</v>
      </c>
      <c r="F179" s="182">
        <f t="shared" si="27"/>
        <v>-3.4793682319343762</v>
      </c>
      <c r="G179" s="253">
        <f t="shared" si="28"/>
        <v>6.1739444493968195E-4</v>
      </c>
      <c r="H179" s="184">
        <f t="shared" si="29"/>
        <v>2.8169371427589178</v>
      </c>
      <c r="K179" s="336" t="s">
        <v>657</v>
      </c>
      <c r="L179" s="330">
        <f>D66/1000</f>
        <v>2.1164470530612243</v>
      </c>
      <c r="M179" s="337">
        <f>L179*100/L180</f>
        <v>73.935124876192774</v>
      </c>
    </row>
    <row r="180" spans="1:13" x14ac:dyDescent="0.35">
      <c r="A180" s="197" t="s">
        <v>83</v>
      </c>
      <c r="B180" s="182">
        <f t="shared" si="31"/>
        <v>-3479.3682319343761</v>
      </c>
      <c r="C180" s="183">
        <f t="shared" si="30"/>
        <v>0.61739444493968199</v>
      </c>
      <c r="D180" s="184">
        <f t="shared" si="26"/>
        <v>2816.9371427589176</v>
      </c>
      <c r="E180" s="185">
        <v>1</v>
      </c>
      <c r="F180" s="182">
        <f t="shared" si="27"/>
        <v>-3.4793682319343762</v>
      </c>
      <c r="G180" s="253">
        <f t="shared" si="28"/>
        <v>6.1739444493968195E-4</v>
      </c>
      <c r="H180" s="184">
        <f t="shared" si="29"/>
        <v>2.8169371427589178</v>
      </c>
      <c r="K180" s="333" t="s">
        <v>658</v>
      </c>
      <c r="L180" s="334">
        <f>L177+L178</f>
        <v>2.8625731769646658</v>
      </c>
      <c r="M180" s="335"/>
    </row>
    <row r="181" spans="1:13" x14ac:dyDescent="0.35">
      <c r="A181" s="196" t="s">
        <v>84</v>
      </c>
      <c r="B181" s="182">
        <f t="shared" si="31"/>
        <v>-3479.3682319343761</v>
      </c>
      <c r="C181" s="183">
        <f t="shared" si="30"/>
        <v>0.61739444493968199</v>
      </c>
      <c r="D181" s="184">
        <f t="shared" si="26"/>
        <v>2816.9371427589176</v>
      </c>
      <c r="E181" s="185">
        <v>1</v>
      </c>
      <c r="F181" s="182">
        <f t="shared" si="27"/>
        <v>-3.4793682319343762</v>
      </c>
      <c r="G181" s="253">
        <f t="shared" si="28"/>
        <v>6.1739444493968195E-4</v>
      </c>
      <c r="H181" s="184">
        <f t="shared" si="29"/>
        <v>2.8169371427589178</v>
      </c>
    </row>
    <row r="182" spans="1:13" x14ac:dyDescent="0.35">
      <c r="A182" s="197" t="s">
        <v>85</v>
      </c>
      <c r="B182" s="182">
        <f t="shared" si="31"/>
        <v>-3479.3682319343761</v>
      </c>
      <c r="C182" s="183">
        <f t="shared" si="30"/>
        <v>0.61739444493968199</v>
      </c>
      <c r="D182" s="184">
        <f t="shared" si="26"/>
        <v>2816.9371427589176</v>
      </c>
      <c r="E182" s="185">
        <v>1</v>
      </c>
      <c r="F182" s="182">
        <f t="shared" si="27"/>
        <v>-3.4793682319343762</v>
      </c>
      <c r="G182" s="253">
        <f t="shared" si="28"/>
        <v>6.1739444493968195E-4</v>
      </c>
      <c r="H182" s="184">
        <f t="shared" si="29"/>
        <v>2.8169371427589178</v>
      </c>
    </row>
    <row r="183" spans="1:13" x14ac:dyDescent="0.35">
      <c r="A183" s="196" t="s">
        <v>86</v>
      </c>
      <c r="B183" s="182">
        <f t="shared" si="31"/>
        <v>-3479.3682319343761</v>
      </c>
      <c r="C183" s="183">
        <f t="shared" si="30"/>
        <v>0.61739444493968199</v>
      </c>
      <c r="D183" s="184">
        <f t="shared" si="26"/>
        <v>2816.9371427589176</v>
      </c>
      <c r="E183" s="185">
        <v>1</v>
      </c>
      <c r="F183" s="182">
        <f t="shared" si="27"/>
        <v>-3.4793682319343762</v>
      </c>
      <c r="G183" s="253">
        <f t="shared" si="28"/>
        <v>6.1739444493968195E-4</v>
      </c>
      <c r="H183" s="184">
        <f t="shared" si="29"/>
        <v>2.8169371427589178</v>
      </c>
      <c r="K183" s="11"/>
    </row>
    <row r="184" spans="1:13" x14ac:dyDescent="0.35">
      <c r="A184" s="197" t="s">
        <v>87</v>
      </c>
      <c r="B184" s="182">
        <f t="shared" si="31"/>
        <v>-3479.3682319343761</v>
      </c>
      <c r="C184" s="183">
        <f t="shared" si="30"/>
        <v>0.61739444493968199</v>
      </c>
      <c r="D184" s="184">
        <f t="shared" si="26"/>
        <v>2816.9371427589176</v>
      </c>
      <c r="E184" s="185">
        <v>1</v>
      </c>
      <c r="F184" s="182">
        <f t="shared" si="27"/>
        <v>-3.4793682319343762</v>
      </c>
      <c r="G184" s="253">
        <f t="shared" si="28"/>
        <v>6.1739444493968195E-4</v>
      </c>
      <c r="H184" s="184">
        <f t="shared" si="29"/>
        <v>2.8169371427589178</v>
      </c>
    </row>
    <row r="185" spans="1:13" x14ac:dyDescent="0.35">
      <c r="A185" s="198" t="s">
        <v>88</v>
      </c>
      <c r="B185" s="190">
        <f t="shared" si="31"/>
        <v>-3479.3682319343761</v>
      </c>
      <c r="C185" s="188">
        <f t="shared" si="30"/>
        <v>0.61739444493968199</v>
      </c>
      <c r="D185" s="189">
        <f t="shared" si="26"/>
        <v>2816.9371427589176</v>
      </c>
      <c r="E185" s="264">
        <v>1</v>
      </c>
      <c r="F185" s="190">
        <f t="shared" si="27"/>
        <v>-3.4793682319343762</v>
      </c>
      <c r="G185" s="254">
        <f t="shared" si="28"/>
        <v>6.1739444493968195E-4</v>
      </c>
      <c r="H185" s="189">
        <f t="shared" si="29"/>
        <v>2.8169371427589178</v>
      </c>
    </row>
    <row r="186" spans="1:13" x14ac:dyDescent="0.35">
      <c r="A186" s="191" t="s">
        <v>62</v>
      </c>
      <c r="B186" s="192"/>
      <c r="C186" s="193"/>
      <c r="D186" s="193"/>
      <c r="E186" s="194"/>
      <c r="F186" s="225">
        <f>SUM(F170:F185)</f>
        <v>-55.463623564134267</v>
      </c>
      <c r="G186" s="341">
        <f t="shared" ref="G186" si="32">SUM(G170:G185)</f>
        <v>1.0601297963814904E-2</v>
      </c>
      <c r="H186" s="261">
        <f t="shared" ref="H186" si="33">SUM(H170:H185)</f>
        <v>45.801170831434646</v>
      </c>
      <c r="I186" s="250">
        <f>F186+G186+H186</f>
        <v>-9.6518514347358035</v>
      </c>
    </row>
    <row r="187" spans="1:13" x14ac:dyDescent="0.35">
      <c r="A187" s="321"/>
      <c r="B187" s="322"/>
      <c r="C187" s="322"/>
      <c r="D187" s="322"/>
      <c r="E187" s="322"/>
      <c r="F187" s="526" t="s">
        <v>673</v>
      </c>
      <c r="G187" s="527"/>
      <c r="H187" s="528"/>
      <c r="I187" s="139"/>
    </row>
    <row r="188" spans="1:13" x14ac:dyDescent="0.35">
      <c r="A188" s="321"/>
      <c r="B188" s="322"/>
      <c r="C188" s="322"/>
      <c r="D188" s="322"/>
      <c r="E188" s="322"/>
      <c r="F188" s="162" t="s">
        <v>63</v>
      </c>
      <c r="G188" s="163" t="s">
        <v>64</v>
      </c>
      <c r="H188" s="164" t="s">
        <v>65</v>
      </c>
      <c r="I188" s="251" t="s">
        <v>62</v>
      </c>
    </row>
    <row r="189" spans="1:13" x14ac:dyDescent="0.35">
      <c r="E189" s="319" t="s">
        <v>653</v>
      </c>
      <c r="F189" s="327">
        <f>F186/16</f>
        <v>-3.4664764727583917</v>
      </c>
      <c r="G189" s="179">
        <f>G186/16</f>
        <v>6.6258112273843148E-4</v>
      </c>
      <c r="H189" s="139">
        <f>H186/16</f>
        <v>2.8625731769646654</v>
      </c>
      <c r="I189" s="339">
        <f>I186/16</f>
        <v>-0.60324071467098772</v>
      </c>
    </row>
    <row r="190" spans="1:13" x14ac:dyDescent="0.35">
      <c r="E190" s="316" t="s">
        <v>605</v>
      </c>
      <c r="F190" s="324"/>
      <c r="G190" s="325"/>
      <c r="H190" s="262"/>
      <c r="I190" s="318"/>
    </row>
  </sheetData>
  <mergeCells count="28">
    <mergeCell ref="K149:L149"/>
    <mergeCell ref="K176:L176"/>
    <mergeCell ref="F163:H163"/>
    <mergeCell ref="F187:H187"/>
    <mergeCell ref="F91:H91"/>
    <mergeCell ref="F115:H115"/>
    <mergeCell ref="F139:H139"/>
    <mergeCell ref="K86:L86"/>
    <mergeCell ref="K108:L108"/>
    <mergeCell ref="K129:L129"/>
    <mergeCell ref="V82:Z82"/>
    <mergeCell ref="A6:A7"/>
    <mergeCell ref="B83:D83"/>
    <mergeCell ref="F83:H83"/>
    <mergeCell ref="E83:E84"/>
    <mergeCell ref="B7:E7"/>
    <mergeCell ref="B96:D96"/>
    <mergeCell ref="E96:E97"/>
    <mergeCell ref="F96:H96"/>
    <mergeCell ref="B120:D120"/>
    <mergeCell ref="E120:E121"/>
    <mergeCell ref="F120:H120"/>
    <mergeCell ref="B144:D144"/>
    <mergeCell ref="E144:E145"/>
    <mergeCell ref="F144:H144"/>
    <mergeCell ref="B168:D168"/>
    <mergeCell ref="E168:E169"/>
    <mergeCell ref="F168:H168"/>
  </mergeCells>
  <pageMargins left="1.25" right="1.25" top="1" bottom="1" header="0.25" footer="0.25"/>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U148"/>
  <sheetViews>
    <sheetView topLeftCell="A27" zoomScaleNormal="100" workbookViewId="0">
      <selection activeCell="D46" sqref="D46"/>
    </sheetView>
  </sheetViews>
  <sheetFormatPr defaultRowHeight="14.5" x14ac:dyDescent="0.35"/>
  <cols>
    <col min="3" max="3" width="24" customWidth="1"/>
    <col min="4" max="4" width="10.1796875" style="11" bestFit="1" customWidth="1"/>
    <col min="10" max="10" width="26.90625" customWidth="1"/>
    <col min="11" max="11" width="8.54296875" customWidth="1"/>
    <col min="12" max="12" width="9.453125" bestFit="1" customWidth="1"/>
    <col min="13" max="13" width="8.81640625" customWidth="1"/>
    <col min="14" max="14" width="11.81640625" customWidth="1"/>
    <col min="15" max="16" width="8.81640625" customWidth="1"/>
    <col min="17" max="17" width="8.54296875" customWidth="1"/>
  </cols>
  <sheetData>
    <row r="1" spans="1:19" x14ac:dyDescent="0.35">
      <c r="A1" s="13"/>
      <c r="B1" s="13"/>
      <c r="C1" s="13"/>
      <c r="D1" s="13"/>
      <c r="E1" s="13"/>
      <c r="F1" s="13"/>
      <c r="G1" s="13"/>
      <c r="H1" s="13"/>
      <c r="I1" s="13"/>
      <c r="J1" s="13"/>
      <c r="K1" s="13"/>
      <c r="L1" s="13"/>
      <c r="M1" s="13"/>
      <c r="N1" s="13"/>
      <c r="O1" s="13"/>
      <c r="P1" s="13"/>
      <c r="Q1" s="13"/>
      <c r="R1" s="13"/>
      <c r="S1" s="13"/>
    </row>
    <row r="2" spans="1:19" x14ac:dyDescent="0.35">
      <c r="A2" s="24" t="s">
        <v>801</v>
      </c>
      <c r="B2" s="13"/>
      <c r="C2" s="13"/>
      <c r="D2" s="13"/>
      <c r="E2" s="13"/>
      <c r="F2" s="13"/>
      <c r="G2" s="13"/>
      <c r="H2" s="13"/>
      <c r="I2" s="13"/>
      <c r="J2" s="13"/>
      <c r="K2" s="13"/>
      <c r="L2" s="13"/>
      <c r="M2" s="13"/>
      <c r="N2" s="13"/>
      <c r="O2" s="13"/>
      <c r="P2" s="13"/>
      <c r="Q2" s="13"/>
      <c r="R2" s="13"/>
      <c r="S2" s="13"/>
    </row>
    <row r="3" spans="1:19" x14ac:dyDescent="0.35">
      <c r="A3" s="13"/>
      <c r="B3" s="13"/>
      <c r="C3" s="13"/>
      <c r="D3" s="13"/>
      <c r="E3" s="13"/>
      <c r="F3" s="13"/>
      <c r="G3" s="13"/>
      <c r="H3" s="13"/>
      <c r="I3" s="13"/>
      <c r="J3" s="13"/>
      <c r="K3" s="13"/>
      <c r="L3" s="13"/>
      <c r="M3" s="13"/>
      <c r="N3" s="13"/>
      <c r="O3" s="13"/>
      <c r="P3" s="13"/>
      <c r="Q3" s="13"/>
      <c r="R3" s="13"/>
      <c r="S3" s="13"/>
    </row>
    <row r="4" spans="1:19" x14ac:dyDescent="0.35">
      <c r="A4" s="13"/>
      <c r="B4" s="24" t="s">
        <v>89</v>
      </c>
      <c r="C4" s="13"/>
      <c r="D4" s="13"/>
      <c r="E4" s="13"/>
      <c r="F4" s="13"/>
      <c r="G4" s="13"/>
      <c r="H4" s="13"/>
      <c r="I4" s="13"/>
      <c r="J4" s="13"/>
      <c r="K4" s="13"/>
      <c r="L4" s="13"/>
      <c r="M4" s="13"/>
      <c r="N4" s="13"/>
      <c r="O4" s="13"/>
      <c r="P4" s="13"/>
      <c r="Q4" s="13"/>
      <c r="R4" s="13"/>
      <c r="S4" s="13"/>
    </row>
    <row r="5" spans="1:19" x14ac:dyDescent="0.35">
      <c r="A5" s="13"/>
      <c r="B5" s="13"/>
      <c r="C5" s="13"/>
      <c r="D5" s="13"/>
      <c r="E5" s="13"/>
      <c r="F5" s="13"/>
      <c r="G5" s="13"/>
      <c r="H5" s="13"/>
      <c r="I5" s="13"/>
      <c r="J5" s="13"/>
      <c r="K5" s="13"/>
      <c r="L5" s="13"/>
      <c r="M5" s="13"/>
      <c r="N5" s="13"/>
      <c r="O5" s="13"/>
      <c r="P5" s="13"/>
      <c r="Q5" s="13"/>
      <c r="R5" s="13"/>
      <c r="S5" s="13"/>
    </row>
    <row r="6" spans="1:19" ht="25.5" customHeight="1" x14ac:dyDescent="0.35">
      <c r="A6" s="13"/>
      <c r="B6" s="13"/>
      <c r="C6" s="138"/>
      <c r="D6" s="413" t="s">
        <v>718</v>
      </c>
      <c r="E6" s="413" t="s">
        <v>722</v>
      </c>
      <c r="F6" s="413" t="s">
        <v>723</v>
      </c>
      <c r="G6" s="13"/>
      <c r="H6" s="13"/>
      <c r="I6" s="13"/>
      <c r="J6" s="13"/>
      <c r="K6" s="13"/>
      <c r="L6" s="13"/>
      <c r="M6" s="13"/>
      <c r="N6" s="13"/>
      <c r="O6" s="13"/>
      <c r="P6" s="13"/>
      <c r="Q6" s="13"/>
      <c r="R6" s="13"/>
      <c r="S6" s="13"/>
    </row>
    <row r="7" spans="1:19" ht="16" customHeight="1" x14ac:dyDescent="0.35">
      <c r="A7" s="13"/>
      <c r="B7" s="13"/>
      <c r="C7" s="126"/>
      <c r="D7" s="394" t="s">
        <v>719</v>
      </c>
      <c r="E7" s="394" t="s">
        <v>720</v>
      </c>
      <c r="F7" s="394" t="s">
        <v>721</v>
      </c>
      <c r="G7" s="13"/>
      <c r="H7" s="13"/>
      <c r="I7" s="13"/>
      <c r="J7" s="13"/>
      <c r="K7" s="13"/>
      <c r="L7" s="13"/>
      <c r="M7" s="13"/>
      <c r="N7" s="13"/>
      <c r="O7" s="13"/>
      <c r="P7" s="13"/>
      <c r="Q7" s="13"/>
      <c r="R7" s="13"/>
      <c r="S7" s="13"/>
    </row>
    <row r="8" spans="1:19" x14ac:dyDescent="0.35">
      <c r="A8" s="13"/>
      <c r="B8" s="13"/>
      <c r="C8" s="138" t="s">
        <v>10</v>
      </c>
      <c r="D8" s="404">
        <f>Diesel!$D14*Diesel!$E14</f>
        <v>492.88717269559163</v>
      </c>
      <c r="E8" s="404">
        <f>Diesel!$D14*Diesel!$G14</f>
        <v>5.7587004637877283E-2</v>
      </c>
      <c r="F8" s="404">
        <f>Diesel!$D14*Diesel!$I14</f>
        <v>6.5841141969306358</v>
      </c>
      <c r="G8" s="13"/>
      <c r="H8" s="13"/>
      <c r="I8" s="13"/>
      <c r="J8" s="13"/>
      <c r="K8" s="13"/>
      <c r="L8" s="13"/>
      <c r="M8" s="13"/>
      <c r="N8" s="13"/>
      <c r="O8" s="13"/>
      <c r="P8" s="13"/>
      <c r="Q8" s="13"/>
      <c r="R8" s="13"/>
      <c r="S8" s="13"/>
    </row>
    <row r="9" spans="1:19" x14ac:dyDescent="0.35">
      <c r="A9" s="13"/>
      <c r="B9" s="13"/>
      <c r="C9" s="13" t="s">
        <v>11</v>
      </c>
      <c r="D9" s="395">
        <f>Diesel!$D15*Diesel!$E15</f>
        <v>492.88717269559163</v>
      </c>
      <c r="E9" s="395">
        <f>Diesel!$D15*Diesel!$G15</f>
        <v>5.7587004637877283E-2</v>
      </c>
      <c r="F9" s="395">
        <f>Diesel!$D15*Diesel!$I15</f>
        <v>6.5841141969306358</v>
      </c>
      <c r="G9" s="13"/>
      <c r="H9" s="13"/>
      <c r="I9" s="13"/>
      <c r="J9" s="13"/>
      <c r="K9" s="13"/>
      <c r="L9" s="13"/>
      <c r="M9" s="13"/>
      <c r="N9" s="13"/>
      <c r="O9" s="13"/>
      <c r="P9" s="13"/>
      <c r="Q9" s="13"/>
      <c r="R9" s="13"/>
      <c r="S9" s="13"/>
    </row>
    <row r="10" spans="1:19" x14ac:dyDescent="0.35">
      <c r="A10" s="13"/>
      <c r="B10" s="13"/>
      <c r="C10" s="13" t="s">
        <v>12</v>
      </c>
      <c r="D10" s="395">
        <f>Diesel!$D16*Diesel!$E16</f>
        <v>253.88066343890128</v>
      </c>
      <c r="E10" s="395">
        <f>Diesel!$D16*Diesel!$G16</f>
        <v>2.9662421245344232E-2</v>
      </c>
      <c r="F10" s="395">
        <f>Diesel!$D16*Diesel!$I16</f>
        <v>3.3914034957176904</v>
      </c>
      <c r="G10" s="13"/>
      <c r="H10" s="13"/>
      <c r="I10" s="13"/>
      <c r="J10" s="13"/>
      <c r="K10" s="13"/>
      <c r="L10" s="13"/>
      <c r="M10" s="13"/>
      <c r="N10" s="13"/>
      <c r="O10" s="13"/>
      <c r="P10" s="13"/>
      <c r="Q10" s="13"/>
      <c r="R10" s="13"/>
      <c r="S10" s="13"/>
    </row>
    <row r="11" spans="1:19" x14ac:dyDescent="0.35">
      <c r="A11" s="13"/>
      <c r="B11" s="13"/>
      <c r="C11" s="13" t="s">
        <v>13</v>
      </c>
      <c r="D11" s="395">
        <f>Diesel!$D17*Diesel!$E17</f>
        <v>1236.1763769047595</v>
      </c>
      <c r="E11" s="395">
        <f>Diesel!$D17*Diesel!$G17</f>
        <v>0.14443000080672505</v>
      </c>
      <c r="F11" s="395">
        <f>Diesel!$D17*Diesel!$I17</f>
        <v>16.513163425568894</v>
      </c>
      <c r="G11" s="13"/>
      <c r="H11" s="13"/>
      <c r="I11" s="13"/>
      <c r="J11" s="13"/>
      <c r="K11" s="13"/>
      <c r="L11" s="13"/>
      <c r="M11" s="13"/>
      <c r="N11" s="13"/>
      <c r="O11" s="13"/>
      <c r="P11" s="13"/>
      <c r="Q11" s="13"/>
      <c r="R11" s="13"/>
      <c r="S11" s="13"/>
    </row>
    <row r="12" spans="1:19" x14ac:dyDescent="0.35">
      <c r="A12" s="13"/>
      <c r="B12" s="13"/>
      <c r="C12" s="411" t="s">
        <v>14</v>
      </c>
      <c r="D12" s="412">
        <f>Diesel!$D18*Diesel!$E18</f>
        <v>494.09074770679871</v>
      </c>
      <c r="E12" s="412">
        <f>Diesel!$D18*Diesel!$G18</f>
        <v>5.7727625622946456E-2</v>
      </c>
      <c r="F12" s="412">
        <f>Diesel!$D18*Diesel!$I18</f>
        <v>6.6001918628902114</v>
      </c>
      <c r="G12" s="13"/>
      <c r="H12" s="13"/>
      <c r="I12" s="13"/>
      <c r="J12" s="13"/>
      <c r="K12" s="13"/>
      <c r="L12" s="13"/>
      <c r="M12" s="13"/>
      <c r="N12" s="13"/>
      <c r="O12" s="13"/>
      <c r="P12" s="13"/>
      <c r="Q12" s="13"/>
      <c r="R12" s="13"/>
      <c r="S12" s="13"/>
    </row>
    <row r="13" spans="1:19" x14ac:dyDescent="0.35">
      <c r="A13" s="13"/>
      <c r="B13" s="13"/>
      <c r="C13" s="138" t="s">
        <v>15</v>
      </c>
      <c r="D13" s="404">
        <f>Diesel!$D19*Diesel!$E19</f>
        <v>422.82199037555813</v>
      </c>
      <c r="E13" s="404">
        <f>Diesel!$D19*Diesel!$G19</f>
        <v>4.9400863462502415E-2</v>
      </c>
      <c r="F13" s="404">
        <f>Diesel!$D19*Diesel!$I19</f>
        <v>5.6481653892127754</v>
      </c>
      <c r="G13" s="13"/>
      <c r="H13" s="13"/>
      <c r="I13" s="13"/>
      <c r="J13" s="13"/>
      <c r="K13" s="13"/>
      <c r="L13" s="13"/>
      <c r="M13" s="13"/>
      <c r="N13" s="13"/>
      <c r="O13" s="13"/>
      <c r="P13" s="13"/>
      <c r="Q13" s="13"/>
      <c r="R13" s="13"/>
      <c r="S13" s="13"/>
    </row>
    <row r="14" spans="1:19" x14ac:dyDescent="0.35">
      <c r="A14" s="13"/>
      <c r="B14" s="13"/>
      <c r="C14" s="13" t="s">
        <v>16</v>
      </c>
      <c r="D14" s="395">
        <f>Diesel!$D20*Diesel!$E20</f>
        <v>81.868501752631587</v>
      </c>
      <c r="E14" s="395">
        <f>Diesel!$D20*Diesel!$G20</f>
        <v>9.5651947368421055E-3</v>
      </c>
      <c r="F14" s="395">
        <f>Diesel!$D20*Diesel!$I20</f>
        <v>1.093620598245614</v>
      </c>
      <c r="G14" s="13"/>
      <c r="H14" s="13"/>
      <c r="I14" s="13"/>
      <c r="J14" s="13"/>
      <c r="K14" s="13"/>
      <c r="L14" s="13"/>
      <c r="M14" s="13"/>
      <c r="N14" s="13"/>
      <c r="O14" s="13"/>
      <c r="P14" s="13"/>
      <c r="Q14" s="13"/>
      <c r="R14" s="13"/>
      <c r="S14" s="13"/>
    </row>
    <row r="15" spans="1:19" x14ac:dyDescent="0.35">
      <c r="A15" s="13"/>
      <c r="B15" s="13"/>
      <c r="C15" s="411" t="s">
        <v>17</v>
      </c>
      <c r="D15" s="412">
        <f>Diesel!$D21*Diesel!$E21</f>
        <v>232.07958042840562</v>
      </c>
      <c r="E15" s="412">
        <f>Diesel!$D21*Diesel!$G21</f>
        <v>2.7115268188854496E-2</v>
      </c>
      <c r="F15" s="412">
        <f>Diesel!$D21*Diesel!$I21</f>
        <v>3.1001789962590305</v>
      </c>
      <c r="G15" s="13"/>
      <c r="H15" s="13"/>
      <c r="I15" s="13"/>
      <c r="J15" s="13"/>
      <c r="K15" s="13"/>
      <c r="L15" s="13"/>
      <c r="M15" s="13"/>
      <c r="N15" s="13"/>
      <c r="O15" s="13"/>
      <c r="P15" s="13"/>
      <c r="Q15" s="13"/>
      <c r="R15" s="13"/>
      <c r="S15" s="13"/>
    </row>
    <row r="16" spans="1:19" x14ac:dyDescent="0.35">
      <c r="A16" s="13"/>
      <c r="B16" s="13"/>
      <c r="C16" s="13" t="s">
        <v>18</v>
      </c>
      <c r="D16" s="395">
        <f>Diesel!$D22*Diesel!$E22</f>
        <v>422.82199037555813</v>
      </c>
      <c r="E16" s="395">
        <f>Diesel!$D22*Diesel!$G22</f>
        <v>4.9400863462502415E-2</v>
      </c>
      <c r="F16" s="395">
        <f>Diesel!$D22*Diesel!$I22</f>
        <v>5.6481653892127754</v>
      </c>
      <c r="G16" s="13"/>
      <c r="H16" s="13"/>
      <c r="I16" s="13"/>
      <c r="J16" s="13"/>
      <c r="K16" s="13"/>
      <c r="L16" s="13"/>
      <c r="M16" s="13"/>
      <c r="N16" s="13"/>
      <c r="O16" s="13"/>
      <c r="P16" s="13"/>
      <c r="Q16" s="13"/>
      <c r="R16" s="13"/>
      <c r="S16" s="13"/>
    </row>
    <row r="17" spans="1:19" x14ac:dyDescent="0.35">
      <c r="A17" s="13"/>
      <c r="B17" s="13"/>
      <c r="C17" s="13" t="s">
        <v>19</v>
      </c>
      <c r="D17" s="395">
        <f>Diesel!$D23*Diesel!$E23</f>
        <v>128.52222554605265</v>
      </c>
      <c r="E17" s="395">
        <f>Diesel!$D23*Diesel!$G23</f>
        <v>1.5016032894736844E-2</v>
      </c>
      <c r="F17" s="395">
        <f>Diesel!$D23*Diesel!$I23</f>
        <v>1.7168330942982457</v>
      </c>
      <c r="G17" s="13"/>
      <c r="H17" s="13"/>
      <c r="I17" s="13"/>
      <c r="J17" s="13"/>
      <c r="K17" s="13"/>
      <c r="L17" s="13"/>
      <c r="M17" s="13"/>
      <c r="N17" s="13"/>
      <c r="O17" s="13"/>
      <c r="P17" s="13"/>
      <c r="Q17" s="13"/>
      <c r="R17" s="13"/>
      <c r="S17" s="13"/>
    </row>
    <row r="18" spans="1:19" x14ac:dyDescent="0.35">
      <c r="A18" s="13"/>
      <c r="B18" s="13"/>
      <c r="C18" s="138" t="s">
        <v>20</v>
      </c>
      <c r="D18" s="404">
        <f>Diesel!$D24*Diesel!$E24</f>
        <v>494.5732974410754</v>
      </c>
      <c r="E18" s="404">
        <f>Diesel!$D24*Diesel!$G24</f>
        <v>5.7784004841812758E-2</v>
      </c>
      <c r="F18" s="404">
        <f>Diesel!$D24*Diesel!$I24</f>
        <v>6.6066378869139246</v>
      </c>
      <c r="G18" s="13"/>
      <c r="H18" s="13"/>
      <c r="I18" s="13"/>
      <c r="J18" s="13"/>
      <c r="K18" s="13"/>
      <c r="L18" s="13"/>
      <c r="M18" s="13"/>
      <c r="N18" s="13"/>
      <c r="O18" s="13"/>
      <c r="P18" s="13"/>
      <c r="Q18" s="13"/>
      <c r="R18" s="13"/>
      <c r="S18" s="13"/>
    </row>
    <row r="19" spans="1:19" x14ac:dyDescent="0.35">
      <c r="A19" s="13"/>
      <c r="B19" s="13"/>
      <c r="C19" s="411" t="s">
        <v>21</v>
      </c>
      <c r="D19" s="412">
        <f>Diesel!$D25*Diesel!$E25</f>
        <v>176.14263514129127</v>
      </c>
      <c r="E19" s="412">
        <f>Diesel!$D25*Diesel!$G25</f>
        <v>2.0579814831322735E-2</v>
      </c>
      <c r="F19" s="412">
        <f>Diesel!$D25*Diesel!$I25</f>
        <v>2.3529588290478989</v>
      </c>
      <c r="G19" s="13"/>
      <c r="H19" s="13"/>
      <c r="I19" s="13"/>
      <c r="J19" s="13"/>
      <c r="K19" s="13"/>
      <c r="L19" s="13"/>
      <c r="M19" s="13"/>
      <c r="N19" s="13"/>
      <c r="O19" s="13"/>
      <c r="P19" s="13"/>
      <c r="Q19" s="13"/>
      <c r="R19" s="13"/>
      <c r="S19" s="13"/>
    </row>
    <row r="20" spans="1:19" x14ac:dyDescent="0.35">
      <c r="A20" s="13"/>
      <c r="B20" s="13"/>
      <c r="C20" s="138" t="s">
        <v>22</v>
      </c>
      <c r="D20" s="404">
        <f>Diesel!$D26*Diesel!$E26</f>
        <v>382.41078195702283</v>
      </c>
      <c r="E20" s="404">
        <f>Diesel!$D26*Diesel!$G26</f>
        <v>4.467937632398912E-2</v>
      </c>
      <c r="F20" s="404">
        <f>Diesel!$D26*Diesel!$I26</f>
        <v>5.1083420263760893</v>
      </c>
      <c r="G20" s="13"/>
      <c r="H20" s="13"/>
      <c r="I20" s="13"/>
      <c r="J20" s="13"/>
      <c r="K20" s="13"/>
      <c r="L20" s="13"/>
      <c r="M20" s="13"/>
      <c r="N20" s="13"/>
      <c r="O20" s="13"/>
      <c r="P20" s="13"/>
      <c r="Q20" s="13"/>
      <c r="R20" s="13"/>
      <c r="S20" s="13"/>
    </row>
    <row r="21" spans="1:19" x14ac:dyDescent="0.35">
      <c r="A21" s="13"/>
      <c r="B21" s="13"/>
      <c r="C21" s="411" t="s">
        <v>23</v>
      </c>
      <c r="D21" s="412">
        <f>Diesel!$D27*Diesel!$E27</f>
        <v>176.14263514129127</v>
      </c>
      <c r="E21" s="412">
        <f>Diesel!$D27*Diesel!$G27</f>
        <v>2.0579814831322735E-2</v>
      </c>
      <c r="F21" s="412">
        <f>Diesel!$D27*Diesel!$I27</f>
        <v>2.3529588290478989</v>
      </c>
      <c r="G21" s="13"/>
      <c r="H21" s="13"/>
      <c r="I21" s="13"/>
      <c r="J21" s="13"/>
      <c r="K21" s="13"/>
      <c r="L21" s="13"/>
      <c r="M21" s="13"/>
      <c r="N21" s="13"/>
      <c r="O21" s="13"/>
      <c r="P21" s="13"/>
      <c r="Q21" s="13"/>
      <c r="R21" s="13"/>
      <c r="S21" s="13"/>
    </row>
    <row r="22" spans="1:19" x14ac:dyDescent="0.35">
      <c r="A22" s="13"/>
      <c r="B22" s="13"/>
      <c r="C22" s="13"/>
      <c r="D22" s="13"/>
      <c r="E22" s="13"/>
      <c r="F22" s="13"/>
      <c r="G22" s="13"/>
      <c r="H22" s="13"/>
      <c r="I22" s="13"/>
      <c r="J22" s="13"/>
      <c r="K22" s="13"/>
      <c r="L22" s="13"/>
      <c r="M22" s="13"/>
      <c r="N22" s="13"/>
      <c r="O22" s="13"/>
      <c r="P22" s="13"/>
      <c r="Q22" s="13"/>
      <c r="R22" s="13"/>
      <c r="S22" s="13"/>
    </row>
    <row r="23" spans="1:19" x14ac:dyDescent="0.35">
      <c r="A23" s="13"/>
      <c r="B23" s="13"/>
      <c r="C23" s="13"/>
      <c r="D23" s="13"/>
      <c r="E23" s="13"/>
      <c r="F23" s="13"/>
      <c r="G23" s="13"/>
      <c r="H23" s="13"/>
      <c r="I23" s="13"/>
      <c r="J23" s="13"/>
      <c r="K23" s="13"/>
      <c r="L23" s="13"/>
      <c r="M23" s="13"/>
      <c r="N23" s="13"/>
      <c r="O23" s="13"/>
      <c r="P23" s="13"/>
      <c r="Q23" s="13"/>
      <c r="R23" s="13"/>
      <c r="S23" s="13"/>
    </row>
    <row r="24" spans="1:19" x14ac:dyDescent="0.35">
      <c r="A24" s="13"/>
      <c r="B24" s="24" t="s">
        <v>96</v>
      </c>
      <c r="C24" s="13"/>
      <c r="D24" s="13"/>
      <c r="E24" s="13"/>
      <c r="F24" s="13"/>
      <c r="G24" s="13"/>
      <c r="H24" s="13"/>
      <c r="I24" s="13"/>
      <c r="J24" s="13"/>
      <c r="K24" s="13"/>
      <c r="L24" s="13"/>
      <c r="M24" s="13"/>
      <c r="N24" s="13"/>
      <c r="O24" s="13"/>
      <c r="P24" s="13"/>
      <c r="Q24" s="13"/>
      <c r="R24" s="13"/>
      <c r="S24" s="13"/>
    </row>
    <row r="25" spans="1:19" x14ac:dyDescent="0.35">
      <c r="A25" s="13"/>
      <c r="B25" s="13"/>
      <c r="C25" s="13"/>
      <c r="D25" s="13"/>
      <c r="E25" s="13"/>
      <c r="F25" s="13"/>
      <c r="G25" s="13"/>
      <c r="H25" s="13"/>
      <c r="I25" s="13"/>
      <c r="J25" s="13"/>
      <c r="K25" s="13"/>
      <c r="L25" s="13"/>
      <c r="M25" s="13"/>
      <c r="N25" s="13"/>
      <c r="O25" s="13"/>
      <c r="P25" s="13"/>
      <c r="Q25" s="13"/>
      <c r="R25" s="13"/>
      <c r="S25" s="13"/>
    </row>
    <row r="26" spans="1:19" x14ac:dyDescent="0.35">
      <c r="A26" s="13"/>
      <c r="B26" s="24" t="s">
        <v>97</v>
      </c>
      <c r="C26" s="13"/>
      <c r="D26" s="13"/>
      <c r="E26" s="13"/>
      <c r="F26" s="13"/>
      <c r="G26" s="13"/>
      <c r="H26" s="13"/>
      <c r="I26" s="13"/>
      <c r="J26" s="13"/>
      <c r="K26" s="13"/>
      <c r="L26" s="13"/>
      <c r="M26" s="13"/>
      <c r="N26" s="13"/>
      <c r="O26" s="13"/>
      <c r="P26" s="13"/>
      <c r="Q26" s="13"/>
      <c r="R26" s="13"/>
      <c r="S26" s="13"/>
    </row>
    <row r="27" spans="1:19" x14ac:dyDescent="0.35">
      <c r="A27" s="13"/>
      <c r="B27" s="13"/>
      <c r="C27" s="13"/>
      <c r="D27" s="13"/>
      <c r="E27" s="13"/>
      <c r="F27" s="13"/>
      <c r="G27" s="13"/>
      <c r="H27" s="13"/>
      <c r="I27" s="13"/>
      <c r="J27" s="13"/>
      <c r="K27" s="13"/>
      <c r="L27" s="13"/>
      <c r="M27" s="13"/>
      <c r="N27" s="13"/>
      <c r="O27" s="13"/>
      <c r="P27" s="13"/>
      <c r="Q27" s="13"/>
      <c r="R27" s="13"/>
      <c r="S27" s="13"/>
    </row>
    <row r="28" spans="1:19" x14ac:dyDescent="0.35">
      <c r="A28" s="13"/>
      <c r="B28" s="13"/>
      <c r="C28" s="138"/>
      <c r="D28" s="414" t="s">
        <v>707</v>
      </c>
      <c r="E28" s="414" t="s">
        <v>708</v>
      </c>
      <c r="F28" s="414" t="s">
        <v>709</v>
      </c>
      <c r="G28" s="13"/>
      <c r="H28" s="13"/>
      <c r="I28" s="13"/>
      <c r="J28" s="13"/>
      <c r="K28" s="13"/>
      <c r="L28" s="13"/>
      <c r="M28" s="13"/>
      <c r="N28" s="13"/>
      <c r="O28" s="13"/>
      <c r="P28" s="13"/>
      <c r="Q28" s="13"/>
      <c r="R28" s="13"/>
      <c r="S28" s="13"/>
    </row>
    <row r="29" spans="1:19" x14ac:dyDescent="0.35">
      <c r="A29" s="13"/>
      <c r="B29" s="13"/>
      <c r="C29" s="126"/>
      <c r="D29" s="136" t="s">
        <v>108</v>
      </c>
      <c r="E29" s="136" t="s">
        <v>108</v>
      </c>
      <c r="F29" s="136" t="s">
        <v>108</v>
      </c>
      <c r="G29" s="13"/>
      <c r="H29" s="13"/>
      <c r="I29" s="13"/>
      <c r="J29" s="13"/>
      <c r="K29" s="13"/>
      <c r="L29" s="13"/>
      <c r="M29" s="13"/>
      <c r="N29" s="13"/>
      <c r="O29" s="13"/>
      <c r="P29" s="13"/>
      <c r="Q29" s="13"/>
      <c r="R29" s="13"/>
      <c r="S29" s="13"/>
    </row>
    <row r="30" spans="1:19" x14ac:dyDescent="0.35">
      <c r="A30" s="13"/>
      <c r="B30" s="13"/>
      <c r="C30" s="388" t="s">
        <v>36</v>
      </c>
      <c r="D30" s="385">
        <f>BiomassAG!E20*BiomassAG!D20*BiomassAG!F20</f>
        <v>0</v>
      </c>
      <c r="E30" s="385">
        <f>BiomassAG!G20*BiomassAG!H20*(1+BiomassAG!I20)*BiomassAG!J20*BiomassAG!K20</f>
        <v>0</v>
      </c>
      <c r="F30" s="385">
        <f>Results!D30-E30</f>
        <v>0</v>
      </c>
      <c r="G30" s="13"/>
      <c r="H30" s="13"/>
      <c r="I30" s="13"/>
      <c r="J30" s="13"/>
      <c r="K30" s="13"/>
      <c r="L30" s="13"/>
      <c r="M30" s="13"/>
      <c r="N30" s="13"/>
      <c r="O30" s="13"/>
      <c r="P30" s="13"/>
      <c r="Q30" s="13"/>
      <c r="R30" s="13"/>
      <c r="S30" s="13"/>
    </row>
    <row r="31" spans="1:19" x14ac:dyDescent="0.35">
      <c r="A31" s="13"/>
      <c r="B31" s="13"/>
      <c r="C31" s="389" t="s">
        <v>37</v>
      </c>
      <c r="D31" s="351">
        <f>BiomassAG!E21*BiomassAG!D21*BiomassAG!F21</f>
        <v>5.6349206349206344</v>
      </c>
      <c r="E31" s="351">
        <f>BiomassAG!G21*BiomassAG!H21*(1+BiomassAG!I21)*BiomassAG!J21*BiomassAG!K21</f>
        <v>0</v>
      </c>
      <c r="F31" s="351">
        <f>Results!D31-E31</f>
        <v>5.6349206349206344</v>
      </c>
      <c r="G31" s="13"/>
      <c r="H31" s="13"/>
      <c r="I31" s="13"/>
      <c r="J31" s="13"/>
      <c r="K31" s="13"/>
      <c r="L31" s="13"/>
      <c r="M31" s="13"/>
      <c r="N31" s="13"/>
      <c r="O31" s="13"/>
      <c r="P31" s="13"/>
      <c r="Q31" s="13"/>
      <c r="R31" s="13"/>
      <c r="S31" s="13"/>
    </row>
    <row r="32" spans="1:19" x14ac:dyDescent="0.35">
      <c r="A32" s="13"/>
      <c r="B32" s="13"/>
      <c r="C32" s="389" t="s">
        <v>38</v>
      </c>
      <c r="D32" s="351">
        <f>BiomassAG!E22*BiomassAG!D22*BiomassAG!F22</f>
        <v>5.6349206349206344</v>
      </c>
      <c r="E32" s="351">
        <f>BiomassAG!G22*BiomassAG!H22*(1+BiomassAG!I22)*BiomassAG!J22*BiomassAG!K22</f>
        <v>0</v>
      </c>
      <c r="F32" s="351">
        <f>Results!D32-E32</f>
        <v>5.6349206349206344</v>
      </c>
      <c r="G32" s="13"/>
      <c r="H32" s="13"/>
      <c r="I32" s="13"/>
      <c r="J32" s="13"/>
      <c r="K32" s="13"/>
      <c r="L32" s="13"/>
      <c r="M32" s="13"/>
      <c r="N32" s="13"/>
      <c r="O32" s="13"/>
      <c r="P32" s="13"/>
      <c r="Q32" s="13"/>
      <c r="R32" s="13"/>
      <c r="S32" s="13"/>
    </row>
    <row r="33" spans="1:19" x14ac:dyDescent="0.35">
      <c r="A33" s="13"/>
      <c r="B33" s="13"/>
      <c r="C33" s="389" t="s">
        <v>671</v>
      </c>
      <c r="D33" s="351">
        <f>BiomassAG!E23*BiomassAG!D23*BiomassAG!F23</f>
        <v>5.6349206349206344</v>
      </c>
      <c r="E33" s="351">
        <f>BiomassAG!G23*BiomassAG!H23*(1+BiomassAG!I23)*BiomassAG!J23*BiomassAG!K23</f>
        <v>16.904761904761905</v>
      </c>
      <c r="F33" s="351">
        <f>Results!D33-E33</f>
        <v>-11.269841269841271</v>
      </c>
      <c r="G33" s="13"/>
      <c r="H33" s="13"/>
      <c r="I33" s="13"/>
      <c r="J33" s="13"/>
      <c r="K33" s="13"/>
      <c r="L33" s="13"/>
      <c r="M33" s="13"/>
      <c r="N33" s="13"/>
      <c r="O33" s="13"/>
      <c r="P33" s="13"/>
      <c r="Q33" s="13"/>
      <c r="R33" s="13"/>
      <c r="S33" s="13"/>
    </row>
    <row r="34" spans="1:19" x14ac:dyDescent="0.35">
      <c r="A34" s="13"/>
      <c r="B34" s="13"/>
      <c r="C34" s="388" t="s">
        <v>40</v>
      </c>
      <c r="D34" s="248">
        <f>BiomassAG!E24*BiomassAG!D24*BiomassAG!F24</f>
        <v>0.39172762645914389</v>
      </c>
      <c r="E34" s="248">
        <f>BiomassAG!G24*BiomassAG!H24*(1+BiomassAG!I24)*BiomassAG!J24*BiomassAG!K24</f>
        <v>0.39172762645914389</v>
      </c>
      <c r="F34" s="248">
        <f>Results!D34-E34</f>
        <v>0</v>
      </c>
      <c r="G34" s="13"/>
      <c r="H34" s="13"/>
      <c r="I34" s="13"/>
      <c r="J34" s="13"/>
      <c r="K34" s="13"/>
      <c r="L34" s="13"/>
      <c r="M34" s="13"/>
      <c r="N34" s="13"/>
      <c r="O34" s="13"/>
      <c r="P34" s="13"/>
      <c r="Q34" s="13"/>
      <c r="R34" s="13"/>
      <c r="S34" s="13"/>
    </row>
    <row r="35" spans="1:19" x14ac:dyDescent="0.35">
      <c r="A35" s="13"/>
      <c r="B35" s="13"/>
      <c r="C35" s="389" t="s">
        <v>41</v>
      </c>
      <c r="D35" s="236">
        <f>BiomassAG!E25*BiomassAG!D25*BiomassAG!F25</f>
        <v>2.5625515564202335</v>
      </c>
      <c r="E35" s="236">
        <f>BiomassAG!G25*BiomassAG!H25*(1+BiomassAG!I25)*BiomassAG!J25*BiomassAG!K25</f>
        <v>2.5625515564202335</v>
      </c>
      <c r="F35" s="236">
        <f>Results!D35-E35</f>
        <v>0</v>
      </c>
      <c r="G35" s="13"/>
      <c r="H35" s="13"/>
      <c r="I35" s="13"/>
      <c r="J35" s="13"/>
      <c r="K35" s="13"/>
      <c r="L35" s="13"/>
      <c r="M35" s="13"/>
      <c r="N35" s="13"/>
      <c r="O35" s="13"/>
      <c r="P35" s="13"/>
      <c r="Q35" s="13"/>
      <c r="R35" s="13"/>
      <c r="S35" s="13"/>
    </row>
    <row r="36" spans="1:19" x14ac:dyDescent="0.35">
      <c r="A36" s="13"/>
      <c r="B36" s="13"/>
      <c r="C36" s="389" t="s">
        <v>42</v>
      </c>
      <c r="D36" s="236">
        <f>BiomassAG!E26*BiomassAG!D26*BiomassAG!F26</f>
        <v>7.2469610894941612</v>
      </c>
      <c r="E36" s="236">
        <f>BiomassAG!G26*BiomassAG!H26*(1+BiomassAG!I26)*BiomassAG!J26*BiomassAG!K26</f>
        <v>7.2469610894941612</v>
      </c>
      <c r="F36" s="236">
        <f>Results!D36-E36</f>
        <v>0</v>
      </c>
      <c r="G36" s="13"/>
      <c r="H36" s="13"/>
      <c r="I36" s="13"/>
      <c r="J36" s="13"/>
      <c r="K36" s="13"/>
      <c r="L36" s="13"/>
      <c r="M36" s="13"/>
      <c r="N36" s="13"/>
      <c r="O36" s="13"/>
      <c r="P36" s="13"/>
      <c r="Q36" s="13"/>
      <c r="R36" s="13"/>
      <c r="S36" s="13"/>
    </row>
    <row r="37" spans="1:19" x14ac:dyDescent="0.35">
      <c r="A37" s="13"/>
      <c r="B37" s="13"/>
      <c r="C37" s="390" t="s">
        <v>43</v>
      </c>
      <c r="D37" s="249">
        <f>BiomassAG!E27*BiomassAG!D27*BiomassAG!F27</f>
        <v>8.1881955252918281</v>
      </c>
      <c r="E37" s="249">
        <f>BiomassAG!G27*BiomassAG!H27*(1+BiomassAG!I27)*BiomassAG!J27*BiomassAG!K27</f>
        <v>8.1881955252918281</v>
      </c>
      <c r="F37" s="249">
        <f>Results!D37-E37</f>
        <v>0</v>
      </c>
      <c r="G37" s="13"/>
      <c r="H37" s="13"/>
      <c r="I37" s="13"/>
      <c r="J37" s="13"/>
      <c r="K37" s="13"/>
      <c r="L37" s="13"/>
      <c r="M37" s="13"/>
      <c r="N37" s="13"/>
      <c r="O37" s="13"/>
      <c r="P37" s="13"/>
      <c r="Q37" s="13"/>
      <c r="R37" s="13"/>
      <c r="S37" s="13"/>
    </row>
    <row r="38" spans="1:19" x14ac:dyDescent="0.35">
      <c r="A38" s="13"/>
      <c r="B38" s="13"/>
      <c r="C38" s="389" t="s">
        <v>44</v>
      </c>
      <c r="D38" s="236">
        <f>BiomassAG!E28*BiomassAG!D28*BiomassAG!F28</f>
        <v>3.2224766666666662</v>
      </c>
      <c r="E38" s="236">
        <f>BiomassAG!G28*BiomassAG!H28*(1+BiomassAG!I28)*BiomassAG!J28*BiomassAG!K28</f>
        <v>3.2224766666666662</v>
      </c>
      <c r="F38" s="236">
        <f>Results!D38-E38</f>
        <v>0</v>
      </c>
      <c r="G38" s="13"/>
      <c r="H38" s="13"/>
      <c r="I38" s="13"/>
      <c r="J38" s="13"/>
      <c r="K38" s="13"/>
      <c r="L38" s="13"/>
      <c r="M38" s="13"/>
      <c r="N38" s="13"/>
      <c r="O38" s="13"/>
      <c r="P38" s="13"/>
      <c r="Q38" s="13"/>
      <c r="R38" s="13"/>
      <c r="S38" s="13"/>
    </row>
    <row r="39" spans="1:19" x14ac:dyDescent="0.35">
      <c r="A39" s="13"/>
      <c r="B39" s="13"/>
      <c r="C39" s="389" t="s">
        <v>45</v>
      </c>
      <c r="D39" s="236">
        <f>BiomassAG!E29*BiomassAG!D29*BiomassAG!F29</f>
        <v>13.021114999999998</v>
      </c>
      <c r="E39" s="236">
        <f>BiomassAG!G29*BiomassAG!H29*(1+BiomassAG!I29)*BiomassAG!J29*BiomassAG!K29</f>
        <v>13.021114999999998</v>
      </c>
      <c r="F39" s="236">
        <f>Results!D39-E39</f>
        <v>0</v>
      </c>
      <c r="G39" s="13"/>
      <c r="H39" s="13"/>
      <c r="I39" s="13"/>
      <c r="J39" s="13"/>
      <c r="K39" s="13"/>
      <c r="L39" s="13"/>
      <c r="M39" s="13"/>
      <c r="N39" s="13"/>
      <c r="O39" s="13"/>
      <c r="P39" s="13"/>
      <c r="Q39" s="13"/>
      <c r="R39" s="13"/>
      <c r="S39" s="13"/>
    </row>
    <row r="40" spans="1:19" x14ac:dyDescent="0.35">
      <c r="A40" s="13"/>
      <c r="B40" s="13"/>
      <c r="C40" s="389" t="s">
        <v>46</v>
      </c>
      <c r="D40" s="236">
        <f>BiomassAG!E30*BiomassAG!D30*BiomassAG!F30</f>
        <v>17.204036666666667</v>
      </c>
      <c r="E40" s="236">
        <f>BiomassAG!G30*BiomassAG!H30*(1+BiomassAG!I30)*BiomassAG!J30*BiomassAG!K30</f>
        <v>17.204036666666667</v>
      </c>
      <c r="F40" s="236">
        <f>Results!D40-E40</f>
        <v>0</v>
      </c>
      <c r="G40" s="13"/>
      <c r="H40" s="13"/>
      <c r="I40" s="13"/>
      <c r="J40" s="13"/>
      <c r="K40" s="13"/>
      <c r="L40" s="13"/>
      <c r="M40" s="13"/>
      <c r="N40" s="13"/>
      <c r="O40" s="13"/>
      <c r="P40" s="13"/>
      <c r="Q40" s="13"/>
      <c r="R40" s="13"/>
      <c r="S40" s="13"/>
    </row>
    <row r="41" spans="1:19" x14ac:dyDescent="0.35">
      <c r="A41" s="13"/>
      <c r="B41" s="13"/>
      <c r="C41" s="390" t="s">
        <v>47</v>
      </c>
      <c r="D41" s="249">
        <f>BiomassAG!E31*BiomassAG!D31*BiomassAG!F31</f>
        <v>18.290966500000003</v>
      </c>
      <c r="E41" s="249">
        <f>BiomassAG!G31*BiomassAG!H31*(1+BiomassAG!I31)*BiomassAG!J31*BiomassAG!K31</f>
        <v>18.290966500000003</v>
      </c>
      <c r="F41" s="249">
        <f>Results!D41-E41</f>
        <v>0</v>
      </c>
      <c r="G41" s="13"/>
      <c r="H41" s="13"/>
      <c r="I41" s="13"/>
      <c r="J41" s="13"/>
      <c r="K41" s="13"/>
      <c r="L41" s="13"/>
      <c r="M41" s="13"/>
      <c r="N41" s="13"/>
      <c r="O41" s="13"/>
      <c r="P41" s="13"/>
      <c r="Q41" s="13"/>
      <c r="R41" s="13"/>
      <c r="S41" s="13"/>
    </row>
    <row r="42" spans="1:19" x14ac:dyDescent="0.35">
      <c r="A42" s="13"/>
      <c r="B42" s="13"/>
      <c r="C42" s="391" t="s">
        <v>48</v>
      </c>
      <c r="D42" s="236">
        <f>BiomassAG!E32*BiomassAG!D32*BiomassAG!F32</f>
        <v>0</v>
      </c>
      <c r="E42" s="236">
        <f>BiomassAG!G32*BiomassAG!H32*(1+BiomassAG!I32)*BiomassAG!J32*BiomassAG!K32</f>
        <v>0</v>
      </c>
      <c r="F42" s="236">
        <f>Results!D42-E42</f>
        <v>0</v>
      </c>
      <c r="G42" s="13"/>
      <c r="H42" s="13"/>
      <c r="I42" s="13"/>
      <c r="J42" s="13"/>
      <c r="K42" s="13"/>
      <c r="L42" s="13"/>
      <c r="M42" s="13"/>
      <c r="N42" s="13"/>
      <c r="O42" s="13"/>
      <c r="P42" s="13"/>
      <c r="Q42" s="13"/>
      <c r="R42" s="13"/>
      <c r="S42" s="13"/>
    </row>
    <row r="43" spans="1:19" x14ac:dyDescent="0.35">
      <c r="A43" s="13"/>
      <c r="B43" s="13"/>
      <c r="C43" s="391" t="s">
        <v>49</v>
      </c>
      <c r="D43" s="236">
        <f>BiomassAG!E33*BiomassAG!D33*BiomassAG!F33</f>
        <v>7.0746053169734155</v>
      </c>
      <c r="E43" s="236">
        <f>BiomassAG!G33*BiomassAG!H33*(1+BiomassAG!I33)*BiomassAG!J33*BiomassAG!K33</f>
        <v>7.0746053169734155</v>
      </c>
      <c r="F43" s="236">
        <f>Results!D43-E43</f>
        <v>0</v>
      </c>
      <c r="G43" s="13"/>
      <c r="H43" s="13"/>
      <c r="I43" s="13"/>
      <c r="J43" s="13"/>
      <c r="K43" s="13"/>
      <c r="L43" s="13"/>
      <c r="M43" s="13"/>
      <c r="N43" s="13"/>
      <c r="O43" s="13"/>
      <c r="P43" s="13"/>
      <c r="Q43" s="13"/>
      <c r="R43" s="13"/>
      <c r="S43" s="13"/>
    </row>
    <row r="44" spans="1:19" x14ac:dyDescent="0.35">
      <c r="A44" s="13"/>
      <c r="B44" s="13"/>
      <c r="C44" s="391" t="s">
        <v>50</v>
      </c>
      <c r="D44" s="236">
        <f>BiomassAG!E34*BiomassAG!D34*BiomassAG!F34</f>
        <v>10.469466257668712</v>
      </c>
      <c r="E44" s="236">
        <f>BiomassAG!G34*BiomassAG!H34*(1+BiomassAG!I34)*BiomassAG!J34*BiomassAG!K34</f>
        <v>10.469466257668712</v>
      </c>
      <c r="F44" s="236">
        <f>Results!D44-E44</f>
        <v>0</v>
      </c>
      <c r="G44" s="13"/>
      <c r="H44" s="13"/>
      <c r="I44" s="13"/>
      <c r="J44" s="13"/>
      <c r="K44" s="13"/>
      <c r="L44" s="13"/>
      <c r="M44" s="13"/>
      <c r="N44" s="13"/>
      <c r="O44" s="13"/>
      <c r="P44" s="13"/>
      <c r="Q44" s="13"/>
      <c r="R44" s="13"/>
      <c r="S44" s="13"/>
    </row>
    <row r="45" spans="1:19" x14ac:dyDescent="0.35">
      <c r="A45" s="13"/>
      <c r="B45" s="13"/>
      <c r="C45" s="391" t="s">
        <v>51</v>
      </c>
      <c r="D45" s="236">
        <f>BiomassAG!E35*BiomassAG!D35*BiomassAG!F35</f>
        <v>11.205415132924337</v>
      </c>
      <c r="E45" s="236">
        <f>BiomassAG!G35*BiomassAG!H35*(1+BiomassAG!I35)*BiomassAG!J35*BiomassAG!K35</f>
        <v>11.205415132924337</v>
      </c>
      <c r="F45" s="236">
        <f>Results!D45-E45</f>
        <v>0</v>
      </c>
      <c r="G45" s="13"/>
      <c r="H45" s="13"/>
      <c r="I45" s="13"/>
      <c r="J45" s="13"/>
      <c r="K45" s="13"/>
      <c r="L45" s="13"/>
      <c r="M45" s="13"/>
      <c r="N45" s="13"/>
      <c r="O45" s="13"/>
      <c r="P45" s="13"/>
      <c r="Q45" s="13"/>
      <c r="R45" s="13"/>
      <c r="S45" s="13"/>
    </row>
    <row r="46" spans="1:19" ht="14" customHeight="1" x14ac:dyDescent="0.35">
      <c r="A46" s="13"/>
      <c r="B46" s="13"/>
      <c r="C46" s="392" t="s">
        <v>52</v>
      </c>
      <c r="D46" s="249">
        <f>BiomassAG!E36*BiomassAG!D36*BiomassAG!F36</f>
        <v>11.609</v>
      </c>
      <c r="E46" s="249">
        <f>BiomassAG!G36*BiomassAG!H36*(1+BiomassAG!I36)*BiomassAG!J36*BiomassAG!K36</f>
        <v>11.609</v>
      </c>
      <c r="F46" s="249">
        <f>Results!D46-E46</f>
        <v>0</v>
      </c>
      <c r="G46" s="13"/>
      <c r="H46" s="13"/>
      <c r="I46" s="13"/>
      <c r="J46" s="13"/>
      <c r="K46" s="13"/>
      <c r="L46" s="13"/>
      <c r="M46" s="13"/>
      <c r="N46" s="13"/>
      <c r="O46" s="13"/>
      <c r="P46" s="13"/>
      <c r="Q46" s="13"/>
      <c r="R46" s="13"/>
      <c r="S46" s="13"/>
    </row>
    <row r="47" spans="1:19" x14ac:dyDescent="0.35">
      <c r="A47" s="13"/>
      <c r="B47" s="13"/>
      <c r="C47" s="13"/>
      <c r="D47" s="13"/>
      <c r="E47" s="13"/>
      <c r="F47" s="13"/>
      <c r="G47" s="13"/>
      <c r="H47" s="13"/>
      <c r="I47" s="13"/>
      <c r="J47" s="13"/>
      <c r="K47" s="13"/>
      <c r="L47" s="13"/>
      <c r="M47" s="13"/>
      <c r="N47" s="160" t="s">
        <v>761</v>
      </c>
      <c r="O47" s="13"/>
      <c r="P47" s="13"/>
      <c r="Q47" s="13"/>
      <c r="R47" s="13"/>
      <c r="S47" s="13"/>
    </row>
    <row r="48" spans="1:19" x14ac:dyDescent="0.35">
      <c r="A48" s="13"/>
      <c r="B48" s="13"/>
      <c r="C48" s="13"/>
      <c r="D48" s="13"/>
      <c r="E48" s="13"/>
      <c r="F48" s="13"/>
      <c r="G48" s="13"/>
      <c r="H48" s="13"/>
      <c r="I48" s="13"/>
      <c r="J48" s="109" t="s">
        <v>756</v>
      </c>
      <c r="K48" s="248">
        <f>Results!F30+Results!F31+Results!F32+Results!F33</f>
        <v>0</v>
      </c>
      <c r="L48" s="138" t="s">
        <v>108</v>
      </c>
      <c r="M48" s="415" t="s">
        <v>111</v>
      </c>
      <c r="N48" s="443">
        <f>K48*44/12</f>
        <v>0</v>
      </c>
      <c r="O48" s="13"/>
      <c r="P48" s="13"/>
      <c r="Q48" s="13"/>
      <c r="R48" s="13"/>
      <c r="S48" s="13"/>
    </row>
    <row r="49" spans="1:19" x14ac:dyDescent="0.35">
      <c r="A49" s="13"/>
      <c r="B49" s="13"/>
      <c r="C49" s="13"/>
      <c r="D49" s="13"/>
      <c r="E49" s="13"/>
      <c r="F49" s="13"/>
      <c r="G49" s="13"/>
      <c r="H49" s="13"/>
      <c r="I49" s="13"/>
      <c r="J49" s="24" t="s">
        <v>757</v>
      </c>
      <c r="K49" s="236">
        <f>SUM(Results!F34:F37)</f>
        <v>0</v>
      </c>
      <c r="L49" s="13" t="s">
        <v>108</v>
      </c>
      <c r="M49" s="136" t="s">
        <v>111</v>
      </c>
      <c r="N49" s="439">
        <f t="shared" ref="N49:N51" si="0">K49*44/12</f>
        <v>0</v>
      </c>
      <c r="O49" s="13"/>
      <c r="P49" s="13"/>
      <c r="Q49" s="13"/>
      <c r="R49" s="13"/>
      <c r="S49" s="13"/>
    </row>
    <row r="50" spans="1:19" x14ac:dyDescent="0.35">
      <c r="A50" s="13"/>
      <c r="B50" s="13"/>
      <c r="C50" s="13"/>
      <c r="D50" s="13"/>
      <c r="E50" s="13"/>
      <c r="F50" s="13"/>
      <c r="G50" s="13"/>
      <c r="H50" s="13"/>
      <c r="I50" s="13"/>
      <c r="J50" s="24" t="s">
        <v>781</v>
      </c>
      <c r="K50" s="236">
        <f>SUM(Results!F38:F41)</f>
        <v>0</v>
      </c>
      <c r="L50" s="13" t="s">
        <v>108</v>
      </c>
      <c r="M50" s="136" t="s">
        <v>111</v>
      </c>
      <c r="N50" s="439">
        <f t="shared" si="0"/>
        <v>0</v>
      </c>
      <c r="O50" s="13"/>
      <c r="P50" s="13"/>
      <c r="Q50" s="13"/>
      <c r="R50" s="13"/>
      <c r="S50" s="13"/>
    </row>
    <row r="51" spans="1:19" x14ac:dyDescent="0.35">
      <c r="A51" s="13"/>
      <c r="B51" s="13"/>
      <c r="C51" s="13"/>
      <c r="D51" s="13"/>
      <c r="E51" s="13"/>
      <c r="F51" s="13"/>
      <c r="G51" s="13"/>
      <c r="H51" s="13"/>
      <c r="I51" s="13"/>
      <c r="J51" s="438" t="s">
        <v>760</v>
      </c>
      <c r="K51" s="249">
        <f>SUM(Results!F42:F46)</f>
        <v>0</v>
      </c>
      <c r="L51" s="411" t="s">
        <v>108</v>
      </c>
      <c r="M51" s="416" t="s">
        <v>111</v>
      </c>
      <c r="N51" s="455">
        <f t="shared" si="0"/>
        <v>0</v>
      </c>
      <c r="O51" s="13"/>
      <c r="P51" s="13"/>
      <c r="Q51" s="13"/>
      <c r="R51" s="13"/>
      <c r="S51" s="13"/>
    </row>
    <row r="52" spans="1:19" x14ac:dyDescent="0.35">
      <c r="A52" s="13"/>
      <c r="B52" s="13"/>
      <c r="C52" s="13"/>
      <c r="D52" s="13"/>
      <c r="E52" s="13"/>
      <c r="F52" s="13"/>
      <c r="G52" s="13"/>
      <c r="H52" s="13"/>
      <c r="I52" s="13"/>
      <c r="J52" s="13"/>
      <c r="K52" s="13"/>
      <c r="L52" s="13"/>
      <c r="M52" s="13"/>
      <c r="N52" s="13"/>
      <c r="O52" s="13"/>
      <c r="P52" s="13"/>
      <c r="Q52" s="13"/>
      <c r="R52" s="13"/>
      <c r="S52" s="13"/>
    </row>
    <row r="53" spans="1:19" x14ac:dyDescent="0.35">
      <c r="A53" s="13"/>
      <c r="B53" s="13"/>
      <c r="C53" s="24"/>
      <c r="D53" s="13"/>
      <c r="E53" s="13"/>
      <c r="F53" s="236"/>
      <c r="G53" s="13"/>
      <c r="H53" s="136"/>
      <c r="I53" s="439"/>
      <c r="J53" s="13"/>
      <c r="K53" s="13"/>
      <c r="L53" s="13"/>
      <c r="M53" s="13"/>
      <c r="N53" s="13"/>
      <c r="O53" s="13"/>
      <c r="P53" s="13"/>
      <c r="Q53" s="13"/>
      <c r="R53" s="13"/>
      <c r="S53" s="13"/>
    </row>
    <row r="54" spans="1:19" x14ac:dyDescent="0.35">
      <c r="A54" s="13"/>
      <c r="B54" s="24" t="s">
        <v>112</v>
      </c>
      <c r="C54" s="13"/>
      <c r="D54" s="13"/>
      <c r="E54" s="13"/>
      <c r="F54" s="13"/>
      <c r="G54" s="13"/>
      <c r="H54" s="13"/>
      <c r="I54" s="13"/>
      <c r="J54" s="13"/>
      <c r="K54" s="13"/>
      <c r="L54" s="13"/>
      <c r="M54" s="13"/>
      <c r="N54" s="13"/>
      <c r="O54" s="13"/>
      <c r="P54" s="13"/>
      <c r="Q54" s="13"/>
      <c r="R54" s="13"/>
      <c r="S54" s="13"/>
    </row>
    <row r="55" spans="1:19" x14ac:dyDescent="0.35">
      <c r="A55" s="13"/>
      <c r="B55" s="13"/>
      <c r="C55" s="13"/>
      <c r="D55" s="13"/>
      <c r="E55" s="13"/>
      <c r="F55" s="13"/>
      <c r="G55" s="13"/>
      <c r="H55" s="13"/>
      <c r="I55" s="13"/>
      <c r="J55" s="13"/>
      <c r="K55" s="13"/>
      <c r="L55" s="13"/>
      <c r="M55" s="13"/>
      <c r="N55" s="13"/>
      <c r="O55" s="13"/>
      <c r="P55" s="13"/>
      <c r="Q55" s="13"/>
      <c r="R55" s="13"/>
      <c r="S55" s="13"/>
    </row>
    <row r="56" spans="1:19" x14ac:dyDescent="0.35">
      <c r="A56" s="13"/>
      <c r="B56" s="13"/>
      <c r="C56" s="138"/>
      <c r="D56" s="415" t="s">
        <v>101</v>
      </c>
      <c r="E56" s="415" t="s">
        <v>103</v>
      </c>
      <c r="F56" s="415" t="s">
        <v>104</v>
      </c>
      <c r="G56" s="13"/>
      <c r="H56" s="13"/>
      <c r="I56" s="13"/>
      <c r="J56" s="13"/>
      <c r="K56" s="13"/>
      <c r="L56" s="13"/>
      <c r="M56" s="13"/>
      <c r="N56" s="13"/>
      <c r="O56" s="13"/>
      <c r="P56" s="13"/>
      <c r="Q56" s="13"/>
      <c r="R56" s="13"/>
      <c r="S56" s="13"/>
    </row>
    <row r="57" spans="1:19" x14ac:dyDescent="0.35">
      <c r="A57" s="13"/>
      <c r="B57" s="13"/>
      <c r="C57" s="411"/>
      <c r="D57" s="416" t="s">
        <v>108</v>
      </c>
      <c r="E57" s="416" t="s">
        <v>108</v>
      </c>
      <c r="F57" s="416" t="s">
        <v>108</v>
      </c>
      <c r="G57" s="13"/>
      <c r="H57" s="13"/>
      <c r="I57" s="13"/>
      <c r="J57" s="13"/>
      <c r="K57" s="13"/>
      <c r="L57" s="13"/>
      <c r="M57" s="13"/>
      <c r="N57" s="444" t="s">
        <v>761</v>
      </c>
      <c r="O57" s="13"/>
      <c r="P57" s="13"/>
      <c r="Q57" s="13"/>
      <c r="R57" s="13"/>
      <c r="S57" s="13"/>
    </row>
    <row r="58" spans="1:19" x14ac:dyDescent="0.35">
      <c r="A58" s="13"/>
      <c r="B58" s="13"/>
      <c r="C58" s="388" t="s">
        <v>26</v>
      </c>
      <c r="D58" s="248">
        <f>BiomassBG!E21*BiomassBG!D21*BiomassBG!F21</f>
        <v>0.39444444444444443</v>
      </c>
      <c r="E58" s="248">
        <f>BiomassBG!G21*BiomassBG!H21*(1+BiomassBG!I21)*BiomassBG!J21*BiomassBG!K21</f>
        <v>0</v>
      </c>
      <c r="F58" s="248">
        <f>Results!D58-E58</f>
        <v>0.39444444444444443</v>
      </c>
      <c r="G58" s="13"/>
      <c r="H58" s="13"/>
      <c r="I58" s="13"/>
      <c r="J58" s="109" t="s">
        <v>756</v>
      </c>
      <c r="K58" s="138"/>
      <c r="L58" s="138"/>
      <c r="M58" s="415" t="s">
        <v>111</v>
      </c>
      <c r="N58" s="443">
        <f>-F58*44/12</f>
        <v>-1.4462962962962962</v>
      </c>
      <c r="O58" s="13"/>
      <c r="P58" s="13"/>
      <c r="Q58" s="13"/>
      <c r="R58" s="13"/>
      <c r="S58" s="13"/>
    </row>
    <row r="59" spans="1:19" x14ac:dyDescent="0.35">
      <c r="A59" s="13"/>
      <c r="B59" s="13"/>
      <c r="C59" s="389" t="s">
        <v>28</v>
      </c>
      <c r="D59" s="236">
        <f>BiomassBG!E22*BiomassBG!D22*BiomassBG!F22</f>
        <v>0.97931906614785968</v>
      </c>
      <c r="E59" s="236">
        <f>BiomassBG!G22*BiomassBG!H22*(1+BiomassBG!I22)*BiomassBG!J22*BiomassBG!K22</f>
        <v>0</v>
      </c>
      <c r="F59" s="236">
        <f>Results!D59-E59</f>
        <v>0.97931906614785968</v>
      </c>
      <c r="G59" s="13"/>
      <c r="H59" s="13"/>
      <c r="I59" s="13"/>
      <c r="J59" s="24" t="s">
        <v>757</v>
      </c>
      <c r="K59" s="13"/>
      <c r="L59" s="13"/>
      <c r="M59" s="136" t="s">
        <v>111</v>
      </c>
      <c r="N59" s="439">
        <f>-F59*44/12</f>
        <v>-3.5908365758754854</v>
      </c>
      <c r="O59" s="13"/>
      <c r="P59" s="13"/>
      <c r="Q59" s="13"/>
      <c r="R59" s="13"/>
      <c r="S59" s="13"/>
    </row>
    <row r="60" spans="1:19" x14ac:dyDescent="0.35">
      <c r="A60" s="13"/>
      <c r="B60" s="13"/>
      <c r="C60" s="389" t="s">
        <v>661</v>
      </c>
      <c r="D60" s="236">
        <f>BiomassBG!E23*BiomassBG!D23*BiomassBG!F23</f>
        <v>2.6871794687499997</v>
      </c>
      <c r="E60" s="236">
        <f>BiomassBG!G23*BiomassBG!H23*(1+BiomassBG!I23)*BiomassBG!J23*BiomassBG!K23</f>
        <v>0</v>
      </c>
      <c r="F60" s="236">
        <f>Results!D60-E60</f>
        <v>2.6871794687499997</v>
      </c>
      <c r="G60" s="13"/>
      <c r="H60" s="13"/>
      <c r="I60" s="13"/>
      <c r="J60" s="24" t="s">
        <v>758</v>
      </c>
      <c r="K60" s="13"/>
      <c r="L60" s="13"/>
      <c r="M60" s="136" t="s">
        <v>111</v>
      </c>
      <c r="N60" s="439">
        <f>-F60*44/12</f>
        <v>-9.8529913854166651</v>
      </c>
      <c r="O60" s="13"/>
      <c r="P60" s="13"/>
      <c r="Q60" s="13"/>
      <c r="R60" s="13"/>
      <c r="S60" s="13"/>
    </row>
    <row r="61" spans="1:19" x14ac:dyDescent="0.35">
      <c r="A61" s="13"/>
      <c r="B61" s="13"/>
      <c r="C61" s="389" t="s">
        <v>662</v>
      </c>
      <c r="D61" s="236">
        <f>BiomassBG!E24*BiomassBG!D24*BiomassBG!F24</f>
        <v>0.17466666546874998</v>
      </c>
      <c r="E61" s="236">
        <f>BiomassBG!G24*BiomassBG!H24*(1+BiomassBG!I24)*BiomassBG!J24*BiomassBG!K24</f>
        <v>0</v>
      </c>
      <c r="F61" s="236">
        <f>Results!D61-E61</f>
        <v>0.17466666546874998</v>
      </c>
      <c r="G61" s="13"/>
      <c r="H61" s="13"/>
      <c r="I61" s="13"/>
      <c r="J61" s="24" t="s">
        <v>759</v>
      </c>
      <c r="K61" s="13"/>
      <c r="L61" s="13"/>
      <c r="M61" s="136" t="s">
        <v>111</v>
      </c>
      <c r="N61" s="439">
        <f>-F61*44/12</f>
        <v>-0.64044444005208323</v>
      </c>
      <c r="O61" s="13"/>
      <c r="P61" s="13"/>
      <c r="Q61" s="13"/>
      <c r="R61" s="13"/>
      <c r="S61" s="13"/>
    </row>
    <row r="62" spans="1:19" x14ac:dyDescent="0.35">
      <c r="A62" s="13"/>
      <c r="B62" s="13"/>
      <c r="C62" s="392" t="s">
        <v>30</v>
      </c>
      <c r="D62" s="249">
        <f>BiomassBG!E25*BiomassBG!D25*BiomassBG!F25</f>
        <v>0.37390950920245403</v>
      </c>
      <c r="E62" s="249">
        <f>BiomassBG!G25*BiomassBG!H25*(1+BiomassBG!I25)*BiomassBG!J25*BiomassBG!K25</f>
        <v>0</v>
      </c>
      <c r="F62" s="249">
        <f>Results!D62-E62</f>
        <v>0.37390950920245403</v>
      </c>
      <c r="G62" s="13"/>
      <c r="H62" s="13"/>
      <c r="I62" s="13"/>
      <c r="J62" s="438" t="s">
        <v>760</v>
      </c>
      <c r="K62" s="411"/>
      <c r="L62" s="411"/>
      <c r="M62" s="416" t="s">
        <v>111</v>
      </c>
      <c r="N62" s="455">
        <f>-F62*44/12</f>
        <v>-1.3710015337423316</v>
      </c>
      <c r="O62" s="13"/>
      <c r="P62" s="13"/>
      <c r="Q62" s="13"/>
      <c r="R62" s="13"/>
      <c r="S62" s="13"/>
    </row>
    <row r="63" spans="1:19" x14ac:dyDescent="0.35">
      <c r="A63" s="13"/>
      <c r="B63" s="13"/>
      <c r="C63" s="13"/>
      <c r="D63" s="13"/>
      <c r="E63" s="13"/>
      <c r="F63" s="13"/>
      <c r="G63" s="13"/>
      <c r="H63" s="13"/>
      <c r="I63" s="13"/>
      <c r="J63" s="13"/>
      <c r="K63" s="13"/>
      <c r="L63" s="13"/>
      <c r="M63" s="13"/>
      <c r="N63" s="13"/>
      <c r="O63" s="13"/>
      <c r="P63" s="13"/>
      <c r="Q63" s="13"/>
      <c r="R63" s="13"/>
      <c r="S63" s="13"/>
    </row>
    <row r="64" spans="1:19" x14ac:dyDescent="0.35">
      <c r="A64" s="13"/>
      <c r="B64" s="13"/>
      <c r="C64" s="13"/>
      <c r="D64" s="13"/>
      <c r="E64" s="13"/>
      <c r="F64" s="13"/>
      <c r="G64" s="13"/>
      <c r="H64" s="13"/>
      <c r="I64" s="13"/>
      <c r="J64" s="13"/>
      <c r="K64" s="13"/>
      <c r="L64" s="13"/>
      <c r="M64" s="13"/>
      <c r="N64" s="13"/>
      <c r="O64" s="13"/>
      <c r="P64" s="13"/>
      <c r="Q64" s="13"/>
      <c r="R64" s="13"/>
      <c r="S64" s="13"/>
    </row>
    <row r="65" spans="1:19" x14ac:dyDescent="0.35">
      <c r="A65" s="13"/>
      <c r="B65" s="24" t="s">
        <v>113</v>
      </c>
      <c r="C65" s="13"/>
      <c r="D65" s="13"/>
      <c r="E65" s="13"/>
      <c r="F65" s="13"/>
      <c r="G65" s="13"/>
      <c r="H65" s="13"/>
      <c r="I65" s="13"/>
      <c r="J65" s="13"/>
      <c r="K65" s="13"/>
      <c r="L65" s="13"/>
      <c r="M65" s="13"/>
      <c r="N65" s="13"/>
      <c r="O65" s="13"/>
      <c r="P65" s="13"/>
      <c r="Q65" s="13"/>
      <c r="R65" s="13"/>
      <c r="S65" s="13"/>
    </row>
    <row r="66" spans="1:19" x14ac:dyDescent="0.35">
      <c r="A66" s="13"/>
      <c r="B66" s="13"/>
      <c r="C66" s="13"/>
      <c r="D66" s="13"/>
      <c r="E66" s="13"/>
      <c r="F66" s="13"/>
      <c r="G66" s="13"/>
      <c r="H66" s="13"/>
      <c r="I66" s="13"/>
      <c r="J66" s="13"/>
      <c r="K66" s="13"/>
      <c r="L66" s="13"/>
      <c r="M66" s="13"/>
      <c r="N66" s="13"/>
      <c r="O66" s="13"/>
      <c r="P66" s="13"/>
      <c r="Q66" s="13"/>
      <c r="R66" s="13"/>
      <c r="S66" s="13"/>
    </row>
    <row r="67" spans="1:19" x14ac:dyDescent="0.35">
      <c r="A67" s="13"/>
      <c r="B67" s="13"/>
      <c r="C67" s="138" t="s">
        <v>738</v>
      </c>
      <c r="D67" s="139">
        <f>min_soils!I54</f>
        <v>53.199999999999996</v>
      </c>
      <c r="E67" s="138" t="s">
        <v>116</v>
      </c>
      <c r="F67" s="13"/>
      <c r="G67" s="13"/>
      <c r="H67" s="13"/>
      <c r="I67" s="13"/>
      <c r="J67" s="13"/>
      <c r="K67" s="13"/>
      <c r="L67" s="13"/>
      <c r="M67" s="13"/>
      <c r="N67" s="13"/>
      <c r="O67" s="13"/>
      <c r="P67" s="13"/>
      <c r="Q67" s="13"/>
      <c r="R67" s="13"/>
      <c r="S67" s="13"/>
    </row>
    <row r="68" spans="1:19" x14ac:dyDescent="0.35">
      <c r="A68" s="13"/>
      <c r="B68" s="13"/>
      <c r="C68" s="13" t="s">
        <v>739</v>
      </c>
      <c r="D68" s="127">
        <f>min_soils!I55</f>
        <v>63.168768000000007</v>
      </c>
      <c r="E68" s="13" t="s">
        <v>116</v>
      </c>
      <c r="F68" s="13"/>
      <c r="G68" s="13"/>
      <c r="H68" s="13"/>
      <c r="I68" s="13"/>
      <c r="J68" s="13"/>
      <c r="K68" s="411" t="s">
        <v>811</v>
      </c>
      <c r="L68" s="13"/>
      <c r="M68" s="13"/>
      <c r="N68" s="444" t="s">
        <v>761</v>
      </c>
      <c r="O68" s="13"/>
      <c r="P68" s="13"/>
      <c r="Q68" s="13"/>
      <c r="R68" s="13"/>
      <c r="S68" s="13"/>
    </row>
    <row r="69" spans="1:19" x14ac:dyDescent="0.35">
      <c r="A69" s="13"/>
      <c r="B69" s="13"/>
      <c r="C69" s="13" t="s">
        <v>740</v>
      </c>
      <c r="D69" s="127">
        <f>min_soils!H54</f>
        <v>53.199999999999996</v>
      </c>
      <c r="E69" s="13" t="s">
        <v>116</v>
      </c>
      <c r="F69" s="13"/>
      <c r="G69" s="13"/>
      <c r="H69" s="13"/>
      <c r="I69" s="13"/>
      <c r="J69" s="442" t="s">
        <v>762</v>
      </c>
      <c r="K69" s="138">
        <f>(min_soils!I54-min_soils!H54)/min_soils!J54</f>
        <v>0</v>
      </c>
      <c r="L69" s="138" t="s">
        <v>108</v>
      </c>
      <c r="M69" s="415" t="s">
        <v>111</v>
      </c>
      <c r="N69" s="443">
        <f>K69*44/12</f>
        <v>0</v>
      </c>
      <c r="O69" s="13"/>
      <c r="P69" s="13"/>
      <c r="Q69" s="13"/>
      <c r="R69" s="13"/>
      <c r="S69" s="13"/>
    </row>
    <row r="70" spans="1:19" x14ac:dyDescent="0.35">
      <c r="A70" s="13"/>
      <c r="B70" s="13"/>
      <c r="C70" s="411" t="s">
        <v>741</v>
      </c>
      <c r="D70" s="150">
        <f>min_soils!H55</f>
        <v>53.199999999999996</v>
      </c>
      <c r="E70" s="411" t="s">
        <v>116</v>
      </c>
      <c r="F70" s="13"/>
      <c r="G70" s="13"/>
      <c r="H70" s="13"/>
      <c r="I70" s="13"/>
      <c r="J70" s="440" t="s">
        <v>763</v>
      </c>
      <c r="K70" s="249">
        <f>(min_soils!I55-min_soils!H55)/min_soils!J55</f>
        <v>0.62304800000000071</v>
      </c>
      <c r="L70" s="411" t="s">
        <v>108</v>
      </c>
      <c r="M70" s="416" t="s">
        <v>111</v>
      </c>
      <c r="N70" s="441">
        <f>K70*-44/12</f>
        <v>-2.2845093333333359</v>
      </c>
      <c r="O70" s="13"/>
      <c r="P70" s="13"/>
      <c r="Q70" s="127"/>
      <c r="R70" s="13"/>
      <c r="S70" s="13"/>
    </row>
    <row r="71" spans="1:19" x14ac:dyDescent="0.35">
      <c r="A71" s="13"/>
      <c r="B71" s="13"/>
      <c r="C71" s="13"/>
      <c r="D71" s="13"/>
      <c r="E71" s="13"/>
      <c r="F71" s="13"/>
      <c r="G71" s="13"/>
      <c r="H71" s="13"/>
      <c r="I71" s="13"/>
      <c r="O71" s="13"/>
      <c r="P71" s="13"/>
      <c r="Q71" s="127"/>
      <c r="R71" s="13"/>
      <c r="S71" s="13"/>
    </row>
    <row r="72" spans="1:19" x14ac:dyDescent="0.35">
      <c r="A72" s="13"/>
      <c r="B72" s="13"/>
      <c r="C72" s="13"/>
      <c r="D72" s="13"/>
      <c r="E72" s="13"/>
      <c r="F72" s="13"/>
      <c r="H72" s="13"/>
      <c r="I72" s="13"/>
      <c r="O72" s="13"/>
      <c r="P72" s="13"/>
      <c r="Q72" s="470"/>
      <c r="R72" s="13"/>
      <c r="S72" s="13"/>
    </row>
    <row r="73" spans="1:19" x14ac:dyDescent="0.35">
      <c r="A73" s="13"/>
      <c r="B73" s="24" t="s">
        <v>118</v>
      </c>
      <c r="C73" s="13"/>
      <c r="D73" s="12"/>
      <c r="E73" s="13"/>
      <c r="F73" s="13"/>
      <c r="H73" s="13"/>
      <c r="I73" s="13"/>
      <c r="J73" s="13"/>
      <c r="K73" s="13"/>
      <c r="L73" s="13"/>
      <c r="M73" s="13"/>
      <c r="N73" s="13"/>
      <c r="O73" s="13"/>
      <c r="P73" s="13"/>
      <c r="Q73" s="13"/>
      <c r="R73" s="13"/>
      <c r="S73" s="13"/>
    </row>
    <row r="74" spans="1:19" x14ac:dyDescent="0.35">
      <c r="A74" s="13"/>
      <c r="B74" s="13"/>
      <c r="C74" s="13"/>
      <c r="D74" s="12"/>
      <c r="E74" s="13"/>
      <c r="F74" s="13"/>
      <c r="H74" s="13"/>
      <c r="I74" s="13"/>
      <c r="J74" s="13"/>
      <c r="K74" s="13"/>
      <c r="L74" s="13"/>
      <c r="M74" s="13"/>
      <c r="N74" s="13"/>
      <c r="O74" s="13"/>
      <c r="P74" s="13"/>
      <c r="Q74" s="13"/>
      <c r="R74" s="13"/>
      <c r="S74" s="13"/>
    </row>
    <row r="75" spans="1:19" x14ac:dyDescent="0.35">
      <c r="A75" s="13"/>
      <c r="B75" s="13"/>
      <c r="C75" s="138"/>
      <c r="D75" s="426" t="s">
        <v>122</v>
      </c>
      <c r="E75" s="13"/>
      <c r="F75" s="13"/>
      <c r="G75" s="13"/>
      <c r="H75" s="13"/>
      <c r="I75" s="13"/>
      <c r="J75" s="13"/>
      <c r="K75" s="13"/>
      <c r="L75" s="13"/>
      <c r="M75" s="13"/>
      <c r="N75" s="13"/>
      <c r="O75" s="13"/>
      <c r="P75" s="13"/>
      <c r="Q75" s="13"/>
      <c r="R75" s="13"/>
      <c r="S75" s="13"/>
    </row>
    <row r="76" spans="1:19" x14ac:dyDescent="0.35">
      <c r="A76" s="13"/>
      <c r="B76" s="13"/>
      <c r="C76" s="411"/>
      <c r="D76" s="416" t="s">
        <v>108</v>
      </c>
      <c r="E76" s="13"/>
      <c r="F76" s="13"/>
      <c r="G76" s="13"/>
      <c r="H76" s="13"/>
      <c r="I76" s="13"/>
      <c r="J76" s="13"/>
      <c r="K76" s="13"/>
      <c r="L76" s="13"/>
      <c r="M76" s="13"/>
      <c r="N76" s="24" t="s">
        <v>761</v>
      </c>
      <c r="O76" s="13"/>
      <c r="P76" s="13"/>
      <c r="Q76" s="13"/>
      <c r="R76" s="13"/>
      <c r="S76" s="13"/>
    </row>
    <row r="77" spans="1:19" x14ac:dyDescent="0.35">
      <c r="A77" s="13"/>
      <c r="B77" s="13"/>
      <c r="C77" s="389" t="s">
        <v>36</v>
      </c>
      <c r="D77" s="344">
        <f>(Litter!C23*((Litter!E23-Litter!D23)/Litter!F23))*Litter!G23</f>
        <v>0.6845</v>
      </c>
      <c r="E77" s="13"/>
      <c r="F77" s="13"/>
      <c r="G77" s="13"/>
      <c r="H77" s="13"/>
      <c r="I77" s="13"/>
      <c r="J77" s="109" t="s">
        <v>764</v>
      </c>
      <c r="K77" s="248"/>
      <c r="L77" s="138"/>
      <c r="M77" s="415" t="s">
        <v>111</v>
      </c>
      <c r="N77" s="443">
        <f t="shared" ref="N77:N93" si="1">D77*44/12</f>
        <v>2.5098333333333334</v>
      </c>
      <c r="O77" s="13"/>
      <c r="P77" s="13"/>
      <c r="Q77" s="13"/>
      <c r="R77" s="13"/>
      <c r="S77" s="13"/>
    </row>
    <row r="78" spans="1:19" x14ac:dyDescent="0.35">
      <c r="A78" s="13"/>
      <c r="B78" s="13"/>
      <c r="C78" s="389" t="s">
        <v>37</v>
      </c>
      <c r="D78" s="344">
        <f>(Litter!C24*((Litter!E24-Litter!D24)/Litter!F24))*Litter!G24</f>
        <v>0.6845</v>
      </c>
      <c r="E78" s="13"/>
      <c r="F78" s="13"/>
      <c r="G78" s="13"/>
      <c r="H78" s="13"/>
      <c r="I78" s="13"/>
      <c r="J78" s="24" t="s">
        <v>765</v>
      </c>
      <c r="K78" s="236"/>
      <c r="L78" s="13"/>
      <c r="M78" s="136" t="s">
        <v>111</v>
      </c>
      <c r="N78" s="439">
        <f t="shared" si="1"/>
        <v>2.5098333333333334</v>
      </c>
      <c r="O78" s="13"/>
      <c r="P78" s="13"/>
      <c r="Q78" s="13"/>
      <c r="R78" s="13"/>
      <c r="S78" s="13"/>
    </row>
    <row r="79" spans="1:19" x14ac:dyDescent="0.35">
      <c r="A79" s="13"/>
      <c r="B79" s="13"/>
      <c r="C79" s="389" t="s">
        <v>38</v>
      </c>
      <c r="D79" s="344">
        <f>(Litter!C25*((Litter!E25-Litter!D25)/Litter!F25))*Litter!G25</f>
        <v>0.68450000000000022</v>
      </c>
      <c r="E79" s="13"/>
      <c r="F79" s="13"/>
      <c r="G79" s="13"/>
      <c r="H79" s="13"/>
      <c r="I79" s="13"/>
      <c r="J79" s="24" t="s">
        <v>766</v>
      </c>
      <c r="K79" s="236"/>
      <c r="L79" s="13"/>
      <c r="M79" s="136" t="s">
        <v>111</v>
      </c>
      <c r="N79" s="439">
        <f t="shared" si="1"/>
        <v>2.5098333333333342</v>
      </c>
      <c r="O79" s="13"/>
      <c r="P79" s="13"/>
      <c r="Q79" s="13"/>
      <c r="R79" s="13"/>
      <c r="S79" s="13"/>
    </row>
    <row r="80" spans="1:19" x14ac:dyDescent="0.35">
      <c r="A80" s="13"/>
      <c r="B80" s="13"/>
      <c r="C80" s="390" t="s">
        <v>39</v>
      </c>
      <c r="D80" s="346">
        <f>(Litter!C26*((Litter!E26-Litter!D26)/Litter!F26))*Litter!G26</f>
        <v>0.68449999999999989</v>
      </c>
      <c r="E80" s="13"/>
      <c r="F80" s="13"/>
      <c r="G80" s="13"/>
      <c r="H80" s="13"/>
      <c r="I80" s="13"/>
      <c r="J80" s="24" t="s">
        <v>767</v>
      </c>
      <c r="K80" s="236"/>
      <c r="L80" s="13"/>
      <c r="M80" s="136" t="s">
        <v>111</v>
      </c>
      <c r="N80" s="439">
        <f t="shared" si="1"/>
        <v>2.5098333333333329</v>
      </c>
      <c r="O80" s="13"/>
      <c r="P80" s="13"/>
      <c r="Q80" s="13"/>
      <c r="R80" s="13"/>
      <c r="S80" s="13"/>
    </row>
    <row r="81" spans="1:19" x14ac:dyDescent="0.35">
      <c r="A81" s="13"/>
      <c r="B81" s="13"/>
      <c r="C81" s="389" t="s">
        <v>40</v>
      </c>
      <c r="D81" s="344">
        <f>(Litter!C27*((Litter!E27-Litter!D27)/Litter!F27))*Litter!G27</f>
        <v>7.8809999999999991E-2</v>
      </c>
      <c r="E81" s="13"/>
      <c r="F81" s="13"/>
      <c r="G81" s="13"/>
      <c r="H81" s="13"/>
      <c r="I81" s="13"/>
      <c r="J81" s="24" t="s">
        <v>768</v>
      </c>
      <c r="K81" s="236"/>
      <c r="L81" s="13"/>
      <c r="M81" s="136" t="s">
        <v>111</v>
      </c>
      <c r="N81" s="439">
        <f t="shared" si="1"/>
        <v>0.28896999999999995</v>
      </c>
      <c r="O81" s="13"/>
      <c r="P81" s="13"/>
      <c r="Q81" s="13"/>
      <c r="R81" s="13"/>
      <c r="S81" s="13"/>
    </row>
    <row r="82" spans="1:19" x14ac:dyDescent="0.35">
      <c r="A82" s="13"/>
      <c r="B82" s="13"/>
      <c r="C82" s="389" t="s">
        <v>41</v>
      </c>
      <c r="D82" s="344">
        <f>(Litter!C28*((Litter!E28-Litter!D28)/Litter!F28))*Litter!G28</f>
        <v>0.51554875</v>
      </c>
      <c r="E82" s="13"/>
      <c r="F82" s="13"/>
      <c r="G82" s="13"/>
      <c r="H82" s="13"/>
      <c r="I82" s="13"/>
      <c r="J82" s="24" t="s">
        <v>769</v>
      </c>
      <c r="K82" s="236"/>
      <c r="L82" s="13"/>
      <c r="M82" s="136" t="s">
        <v>111</v>
      </c>
      <c r="N82" s="439">
        <f t="shared" si="1"/>
        <v>1.8903454166666667</v>
      </c>
      <c r="O82" s="13"/>
      <c r="P82" s="13"/>
      <c r="Q82" s="13"/>
      <c r="R82" s="13"/>
      <c r="S82" s="13"/>
    </row>
    <row r="83" spans="1:19" x14ac:dyDescent="0.35">
      <c r="A83" s="13"/>
      <c r="B83" s="13"/>
      <c r="C83" s="389" t="s">
        <v>42</v>
      </c>
      <c r="D83" s="344">
        <f>(Litter!C29*((Litter!E29-Litter!D29)/Litter!F29))*Litter!G29</f>
        <v>1.4579849999999996</v>
      </c>
      <c r="E83" s="13"/>
      <c r="F83" s="13"/>
      <c r="G83" s="13"/>
      <c r="H83" s="13"/>
      <c r="I83" s="13"/>
      <c r="J83" s="24" t="s">
        <v>770</v>
      </c>
      <c r="K83" s="236"/>
      <c r="L83" s="13"/>
      <c r="M83" s="136" t="s">
        <v>111</v>
      </c>
      <c r="N83" s="439">
        <f t="shared" si="1"/>
        <v>5.3459449999999995</v>
      </c>
      <c r="O83" s="13"/>
      <c r="P83" s="13"/>
      <c r="Q83" s="13"/>
      <c r="R83" s="13"/>
      <c r="S83" s="13"/>
    </row>
    <row r="84" spans="1:19" ht="24" x14ac:dyDescent="0.35">
      <c r="A84" s="13"/>
      <c r="B84" s="13"/>
      <c r="C84" s="390" t="s">
        <v>43</v>
      </c>
      <c r="D84" s="346">
        <f>(Litter!C30*((Litter!E30-Litter!D30)/Litter!F30))*Litter!G30</f>
        <v>1.6473479166666667</v>
      </c>
      <c r="E84" s="13"/>
      <c r="F84" s="13"/>
      <c r="G84" s="13"/>
      <c r="H84" s="13"/>
      <c r="I84" s="13"/>
      <c r="J84" s="453" t="s">
        <v>771</v>
      </c>
      <c r="K84" s="236"/>
      <c r="L84" s="13"/>
      <c r="M84" s="136" t="s">
        <v>111</v>
      </c>
      <c r="N84" s="439">
        <f t="shared" si="1"/>
        <v>6.0402756944444453</v>
      </c>
      <c r="O84" s="13"/>
      <c r="P84" s="13"/>
      <c r="Q84" s="13"/>
      <c r="R84" s="13"/>
      <c r="S84" s="13"/>
    </row>
    <row r="85" spans="1:19" x14ac:dyDescent="0.35">
      <c r="A85" s="13"/>
      <c r="B85" s="13"/>
      <c r="C85" s="389" t="s">
        <v>44</v>
      </c>
      <c r="D85" s="344">
        <f>(Litter!C31*((Litter!E31-Litter!D31)/Litter!F31))*Litter!G31</f>
        <v>0.26882966666666663</v>
      </c>
      <c r="E85" s="13"/>
      <c r="F85" s="13"/>
      <c r="G85" s="13"/>
      <c r="H85" s="13"/>
      <c r="I85" s="13"/>
      <c r="J85" s="24" t="s">
        <v>772</v>
      </c>
      <c r="K85" s="236"/>
      <c r="L85" s="13"/>
      <c r="M85" s="136" t="s">
        <v>111</v>
      </c>
      <c r="N85" s="439">
        <f t="shared" si="1"/>
        <v>0.98570877777777766</v>
      </c>
      <c r="O85" s="13"/>
      <c r="P85" s="13"/>
      <c r="Q85" s="13"/>
      <c r="R85" s="13"/>
      <c r="S85" s="13"/>
    </row>
    <row r="86" spans="1:19" x14ac:dyDescent="0.35">
      <c r="A86" s="13"/>
      <c r="B86" s="13"/>
      <c r="C86" s="389" t="s">
        <v>45</v>
      </c>
      <c r="D86" s="344">
        <f>(Litter!C32*((Litter!E32-Litter!D32)/Litter!F32))*Litter!G32</f>
        <v>1.0862645</v>
      </c>
      <c r="E86" s="13"/>
      <c r="F86" s="13"/>
      <c r="G86" s="13"/>
      <c r="H86" s="13"/>
      <c r="I86" s="13"/>
      <c r="J86" s="24" t="s">
        <v>773</v>
      </c>
      <c r="K86" s="236"/>
      <c r="L86" s="13"/>
      <c r="M86" s="136" t="s">
        <v>111</v>
      </c>
      <c r="N86" s="439">
        <f t="shared" si="1"/>
        <v>3.9829698333333332</v>
      </c>
      <c r="O86" s="13"/>
      <c r="P86" s="13"/>
      <c r="Q86" s="13"/>
      <c r="R86" s="13"/>
      <c r="S86" s="13"/>
    </row>
    <row r="87" spans="1:19" x14ac:dyDescent="0.35">
      <c r="A87" s="13"/>
      <c r="B87" s="13"/>
      <c r="C87" s="389" t="s">
        <v>46</v>
      </c>
      <c r="D87" s="344">
        <f>(Litter!C33*((Litter!E33-Litter!D33)/Litter!F33))*Litter!G33</f>
        <v>1.4352176666666667</v>
      </c>
      <c r="E87" s="13"/>
      <c r="F87" s="13"/>
      <c r="G87" s="13"/>
      <c r="H87" s="13"/>
      <c r="I87" s="13"/>
      <c r="J87" s="24" t="s">
        <v>774</v>
      </c>
      <c r="K87" s="236"/>
      <c r="L87" s="13"/>
      <c r="M87" s="136" t="s">
        <v>111</v>
      </c>
      <c r="N87" s="439">
        <f t="shared" si="1"/>
        <v>5.2624647777777778</v>
      </c>
      <c r="O87" s="13"/>
      <c r="P87" s="13"/>
      <c r="Q87" s="13"/>
      <c r="R87" s="13"/>
      <c r="S87" s="13"/>
    </row>
    <row r="88" spans="1:19" x14ac:dyDescent="0.35">
      <c r="A88" s="13"/>
      <c r="B88" s="13"/>
      <c r="C88" s="390" t="s">
        <v>47</v>
      </c>
      <c r="D88" s="346">
        <f>(Litter!C34*((Litter!E34-Litter!D34)/Litter!F34))*Litter!G34</f>
        <v>1.52589295</v>
      </c>
      <c r="E88" s="13"/>
      <c r="F88" s="13"/>
      <c r="G88" s="13"/>
      <c r="H88" s="13"/>
      <c r="I88" s="13"/>
      <c r="J88" s="453" t="s">
        <v>775</v>
      </c>
      <c r="K88" s="236"/>
      <c r="L88" s="13"/>
      <c r="M88" s="136" t="s">
        <v>111</v>
      </c>
      <c r="N88" s="439">
        <f t="shared" si="1"/>
        <v>5.594940816666667</v>
      </c>
      <c r="O88" s="13"/>
      <c r="P88" s="13"/>
      <c r="Q88" s="13"/>
      <c r="R88" s="13"/>
      <c r="S88" s="13"/>
    </row>
    <row r="89" spans="1:19" x14ac:dyDescent="0.35">
      <c r="A89" s="13"/>
      <c r="B89" s="13"/>
      <c r="C89" s="391" t="s">
        <v>48</v>
      </c>
      <c r="D89" s="344">
        <f>(Litter!C35*((Litter!E35-Litter!D35)/Litter!F35))*Litter!G35</f>
        <v>0</v>
      </c>
      <c r="E89" s="13"/>
      <c r="F89" s="13"/>
      <c r="G89" s="13"/>
      <c r="H89" s="13"/>
      <c r="I89" s="13"/>
      <c r="J89" s="24" t="s">
        <v>776</v>
      </c>
      <c r="K89" s="236"/>
      <c r="L89" s="13"/>
      <c r="M89" s="136" t="s">
        <v>111</v>
      </c>
      <c r="N89" s="439">
        <f t="shared" si="1"/>
        <v>0</v>
      </c>
      <c r="O89" s="13"/>
      <c r="P89" s="13"/>
      <c r="Q89" s="13"/>
      <c r="R89" s="13"/>
      <c r="S89" s="13"/>
    </row>
    <row r="90" spans="1:19" x14ac:dyDescent="0.35">
      <c r="A90" s="13"/>
      <c r="B90" s="13"/>
      <c r="C90" s="391" t="s">
        <v>49</v>
      </c>
      <c r="D90" s="344">
        <f>(Litter!C36*((Litter!E36-Litter!D36)/Litter!F36))*Litter!G36</f>
        <v>0</v>
      </c>
      <c r="E90" s="13"/>
      <c r="F90" s="13"/>
      <c r="G90" s="13"/>
      <c r="H90" s="13"/>
      <c r="I90" s="13"/>
      <c r="J90" s="24" t="s">
        <v>777</v>
      </c>
      <c r="K90" s="236"/>
      <c r="L90" s="13"/>
      <c r="M90" s="136" t="s">
        <v>111</v>
      </c>
      <c r="N90" s="439">
        <f t="shared" si="1"/>
        <v>0</v>
      </c>
      <c r="O90" s="13"/>
      <c r="P90" s="13"/>
      <c r="Q90" s="13"/>
      <c r="R90" s="13"/>
      <c r="S90" s="13"/>
    </row>
    <row r="91" spans="1:19" x14ac:dyDescent="0.35">
      <c r="A91" s="13"/>
      <c r="B91" s="13"/>
      <c r="C91" s="391" t="s">
        <v>50</v>
      </c>
      <c r="D91" s="344">
        <f>(Litter!C37*((Litter!E37-Litter!D37)/Litter!F37))*Litter!G37</f>
        <v>0</v>
      </c>
      <c r="E91" s="13"/>
      <c r="F91" s="13"/>
      <c r="G91" s="13"/>
      <c r="H91" s="13"/>
      <c r="I91" s="13"/>
      <c r="J91" s="24" t="s">
        <v>778</v>
      </c>
      <c r="K91" s="236"/>
      <c r="L91" s="13"/>
      <c r="M91" s="136" t="s">
        <v>111</v>
      </c>
      <c r="N91" s="439">
        <f t="shared" si="1"/>
        <v>0</v>
      </c>
      <c r="O91" s="13"/>
      <c r="P91" s="13"/>
      <c r="Q91" s="13"/>
      <c r="R91" s="13"/>
      <c r="S91" s="13"/>
    </row>
    <row r="92" spans="1:19" x14ac:dyDescent="0.35">
      <c r="A92" s="13"/>
      <c r="B92" s="13"/>
      <c r="C92" s="391" t="s">
        <v>51</v>
      </c>
      <c r="D92" s="344">
        <f>(Litter!C38*((Litter!E38-Litter!D38)/Litter!F38))*Litter!G38</f>
        <v>0</v>
      </c>
      <c r="E92" s="13"/>
      <c r="F92" s="13"/>
      <c r="G92" s="13"/>
      <c r="H92" s="13"/>
      <c r="I92" s="13"/>
      <c r="J92" s="24" t="s">
        <v>779</v>
      </c>
      <c r="K92" s="236"/>
      <c r="L92" s="13"/>
      <c r="M92" s="136" t="s">
        <v>111</v>
      </c>
      <c r="N92" s="439">
        <f t="shared" si="1"/>
        <v>0</v>
      </c>
      <c r="O92" s="13"/>
      <c r="P92" s="13"/>
      <c r="Q92" s="13"/>
      <c r="R92" s="13"/>
      <c r="S92" s="13"/>
    </row>
    <row r="93" spans="1:19" ht="24" x14ac:dyDescent="0.35">
      <c r="A93" s="13"/>
      <c r="B93" s="13"/>
      <c r="C93" s="392" t="s">
        <v>52</v>
      </c>
      <c r="D93" s="346">
        <f>(Litter!C39*((Litter!E39-Litter!D39)/Litter!F39))*Litter!G39</f>
        <v>0</v>
      </c>
      <c r="E93" s="13"/>
      <c r="F93" s="13"/>
      <c r="G93" s="13"/>
      <c r="H93" s="13"/>
      <c r="I93" s="13"/>
      <c r="J93" s="454" t="s">
        <v>780</v>
      </c>
      <c r="K93" s="249"/>
      <c r="L93" s="411"/>
      <c r="M93" s="416" t="s">
        <v>111</v>
      </c>
      <c r="N93" s="455">
        <f t="shared" si="1"/>
        <v>0</v>
      </c>
      <c r="O93" s="13"/>
      <c r="P93" s="13"/>
      <c r="Q93" s="13"/>
      <c r="R93" s="13"/>
      <c r="S93" s="13"/>
    </row>
    <row r="94" spans="1:19" x14ac:dyDescent="0.35">
      <c r="A94" s="13"/>
      <c r="B94" s="13"/>
      <c r="C94" s="13"/>
      <c r="D94" s="13"/>
      <c r="E94" s="13"/>
      <c r="F94" s="13"/>
      <c r="G94" s="13"/>
      <c r="H94" s="13"/>
      <c r="I94" s="13"/>
      <c r="J94" s="13"/>
      <c r="K94" s="13"/>
      <c r="L94" s="13"/>
      <c r="M94" s="13"/>
      <c r="N94" s="13"/>
      <c r="O94" s="13"/>
      <c r="P94" s="13"/>
      <c r="Q94" s="13"/>
      <c r="R94" s="13"/>
      <c r="S94" s="13"/>
    </row>
    <row r="95" spans="1:19" x14ac:dyDescent="0.35">
      <c r="A95" s="13"/>
      <c r="B95" s="13"/>
      <c r="C95" s="146"/>
      <c r="D95" s="152"/>
      <c r="E95" s="13"/>
      <c r="F95" s="13"/>
      <c r="G95" s="13"/>
      <c r="H95" s="13"/>
      <c r="I95" s="13"/>
      <c r="J95" s="13"/>
      <c r="K95" s="13"/>
      <c r="L95" s="13"/>
      <c r="M95" s="13"/>
      <c r="N95" s="13"/>
      <c r="O95" s="13"/>
      <c r="P95" s="13"/>
      <c r="Q95" s="13"/>
      <c r="R95" s="13"/>
      <c r="S95" s="13"/>
    </row>
    <row r="96" spans="1:19" x14ac:dyDescent="0.35">
      <c r="A96" s="24" t="s">
        <v>802</v>
      </c>
      <c r="B96" s="13"/>
      <c r="C96" s="13"/>
      <c r="D96" s="13"/>
      <c r="E96" s="13"/>
      <c r="F96" s="13"/>
      <c r="G96" s="13"/>
      <c r="H96" s="13"/>
      <c r="I96" s="13"/>
      <c r="J96" s="13"/>
      <c r="K96" s="13"/>
      <c r="L96" s="13"/>
      <c r="M96" s="13"/>
      <c r="N96" s="13"/>
      <c r="O96" s="13"/>
      <c r="P96" s="13"/>
      <c r="Q96" s="13"/>
      <c r="R96" s="13"/>
      <c r="S96" s="13"/>
    </row>
    <row r="97" spans="1:19" x14ac:dyDescent="0.35">
      <c r="A97" s="13"/>
      <c r="B97" s="13"/>
      <c r="C97" s="13"/>
      <c r="D97" s="13"/>
      <c r="E97" s="13"/>
      <c r="F97" s="13"/>
      <c r="G97" s="13"/>
      <c r="H97" s="13"/>
      <c r="I97" s="13"/>
      <c r="J97" s="13"/>
      <c r="K97" s="13"/>
      <c r="L97" s="13"/>
      <c r="M97" s="13"/>
      <c r="N97" s="13"/>
      <c r="O97" s="13"/>
      <c r="P97" s="13"/>
      <c r="Q97" s="13"/>
      <c r="R97" s="13"/>
      <c r="S97" s="13"/>
    </row>
    <row r="98" spans="1:19" x14ac:dyDescent="0.35">
      <c r="A98" s="13"/>
      <c r="B98" s="24" t="s">
        <v>803</v>
      </c>
      <c r="C98" s="13"/>
      <c r="D98" s="13"/>
      <c r="E98" s="13"/>
      <c r="F98" s="13"/>
      <c r="G98" s="13"/>
      <c r="H98" s="13"/>
      <c r="I98" s="13"/>
      <c r="J98" s="13"/>
      <c r="K98" s="13"/>
      <c r="L98" s="13"/>
      <c r="M98" s="13"/>
      <c r="N98" s="13"/>
      <c r="O98" s="13"/>
      <c r="P98" s="13"/>
      <c r="Q98" s="13"/>
      <c r="R98" s="13"/>
      <c r="S98" s="13"/>
    </row>
    <row r="99" spans="1:19" x14ac:dyDescent="0.35">
      <c r="A99" s="13"/>
      <c r="B99" s="13"/>
      <c r="C99" s="13"/>
      <c r="D99" s="12"/>
      <c r="E99" s="13"/>
      <c r="F99" s="13"/>
      <c r="G99" s="13"/>
      <c r="H99" s="13"/>
      <c r="I99" s="13"/>
      <c r="J99" s="13"/>
      <c r="K99" s="13"/>
      <c r="L99" s="13"/>
      <c r="M99" s="13"/>
      <c r="N99" s="13"/>
      <c r="O99" s="13"/>
      <c r="P99" s="13"/>
      <c r="Q99" s="13"/>
      <c r="R99" s="13"/>
      <c r="S99" s="13"/>
    </row>
    <row r="100" spans="1:19" x14ac:dyDescent="0.35">
      <c r="A100" s="13"/>
      <c r="B100" s="13"/>
      <c r="C100" s="138"/>
      <c r="D100" s="456" t="s">
        <v>783</v>
      </c>
      <c r="E100" s="13"/>
      <c r="F100" s="13"/>
      <c r="G100" s="13"/>
      <c r="H100" s="13"/>
      <c r="I100" s="13"/>
      <c r="J100" s="13"/>
      <c r="K100" s="13"/>
      <c r="L100" s="13"/>
      <c r="M100" s="13"/>
      <c r="N100" s="13"/>
      <c r="O100" s="13"/>
      <c r="P100" s="13"/>
      <c r="Q100" s="13"/>
      <c r="R100" s="13"/>
      <c r="S100" s="13"/>
    </row>
    <row r="101" spans="1:19" x14ac:dyDescent="0.35">
      <c r="A101" s="13"/>
      <c r="B101" s="13"/>
      <c r="C101" s="411"/>
      <c r="D101" s="411" t="s">
        <v>140</v>
      </c>
      <c r="E101" s="13"/>
      <c r="F101" s="13"/>
      <c r="G101" s="13"/>
      <c r="H101" s="13"/>
      <c r="I101" s="13"/>
      <c r="J101" s="13"/>
      <c r="K101" s="13"/>
      <c r="L101" s="13"/>
      <c r="M101" s="13"/>
      <c r="N101" s="24" t="s">
        <v>784</v>
      </c>
      <c r="O101" s="13"/>
      <c r="P101" s="13"/>
      <c r="Q101" s="13"/>
      <c r="R101" s="13"/>
      <c r="S101" s="13"/>
    </row>
    <row r="102" spans="1:19" x14ac:dyDescent="0.35">
      <c r="A102" s="13"/>
      <c r="B102" s="13"/>
      <c r="C102" s="451" t="s">
        <v>10</v>
      </c>
      <c r="D102" s="452">
        <f>(directN2O_1!C41+directN2O_1!P41+directN2O_1!Q41)*directN2O_1!R41</f>
        <v>3.9060922528571429</v>
      </c>
      <c r="E102" s="13"/>
      <c r="F102" s="13"/>
      <c r="G102" s="13"/>
      <c r="H102" s="13"/>
      <c r="I102" s="13"/>
      <c r="J102" s="457" t="s">
        <v>10</v>
      </c>
      <c r="K102" s="138"/>
      <c r="L102" s="138"/>
      <c r="M102" s="415" t="s">
        <v>111</v>
      </c>
      <c r="N102" s="443">
        <f t="shared" ref="N102:N111" si="2">D102*44/28</f>
        <v>6.138144968775511</v>
      </c>
      <c r="O102" s="13"/>
      <c r="P102" s="13"/>
      <c r="Q102" s="13"/>
      <c r="R102" s="13"/>
      <c r="S102" s="13"/>
    </row>
    <row r="103" spans="1:19" x14ac:dyDescent="0.35">
      <c r="A103" s="13"/>
      <c r="B103" s="13"/>
      <c r="C103" s="447" t="s">
        <v>11</v>
      </c>
      <c r="D103" s="448">
        <f>(directN2O_1!C42+directN2O_1!P42+directN2O_1!Q42)*directN2O_1!R42</f>
        <v>2.8331631428571433</v>
      </c>
      <c r="E103" s="13"/>
      <c r="F103" s="13"/>
      <c r="G103" s="13"/>
      <c r="H103" s="13"/>
      <c r="I103" s="13"/>
      <c r="J103" s="458" t="s">
        <v>11</v>
      </c>
      <c r="K103" s="13"/>
      <c r="L103" s="13"/>
      <c r="M103" s="136" t="s">
        <v>111</v>
      </c>
      <c r="N103" s="439">
        <f t="shared" si="2"/>
        <v>4.4521135102040823</v>
      </c>
      <c r="O103" s="13"/>
      <c r="P103" s="13"/>
      <c r="Q103" s="13"/>
      <c r="R103" s="13"/>
      <c r="S103" s="13"/>
    </row>
    <row r="104" spans="1:19" x14ac:dyDescent="0.35">
      <c r="A104" s="13"/>
      <c r="B104" s="13"/>
      <c r="C104" s="447" t="s">
        <v>12</v>
      </c>
      <c r="D104" s="448">
        <f>(directN2O_1!C43+directN2O_1!P43+directN2O_1!Q43)*directN2O_1!R43</f>
        <v>4.0155594285714287</v>
      </c>
      <c r="E104" s="13"/>
      <c r="F104" s="13"/>
      <c r="G104" s="13"/>
      <c r="H104" s="13"/>
      <c r="I104" s="13"/>
      <c r="J104" s="458" t="s">
        <v>12</v>
      </c>
      <c r="K104" s="13"/>
      <c r="L104" s="13"/>
      <c r="M104" s="136" t="s">
        <v>111</v>
      </c>
      <c r="N104" s="439">
        <f t="shared" si="2"/>
        <v>6.3101648163265311</v>
      </c>
      <c r="O104" s="13"/>
      <c r="P104" s="13"/>
      <c r="Q104" s="13"/>
      <c r="R104" s="13"/>
      <c r="S104" s="13"/>
    </row>
    <row r="105" spans="1:19" x14ac:dyDescent="0.35">
      <c r="A105" s="13"/>
      <c r="B105" s="13"/>
      <c r="C105" s="447" t="s">
        <v>141</v>
      </c>
      <c r="D105" s="448">
        <f>(directN2O_1!C44+directN2O_1!P44+directN2O_1!Q44)*directN2O_1!R44</f>
        <v>3.644218285714286</v>
      </c>
      <c r="E105" s="13"/>
      <c r="F105" s="13"/>
      <c r="G105" s="13"/>
      <c r="H105" s="13"/>
      <c r="I105" s="13"/>
      <c r="J105" s="458" t="s">
        <v>141</v>
      </c>
      <c r="K105" s="13"/>
      <c r="L105" s="13"/>
      <c r="M105" s="136" t="s">
        <v>111</v>
      </c>
      <c r="N105" s="439">
        <f t="shared" si="2"/>
        <v>5.726628734693878</v>
      </c>
      <c r="O105" s="13"/>
      <c r="P105" s="13"/>
      <c r="Q105" s="13"/>
      <c r="R105" s="13"/>
      <c r="S105" s="13"/>
    </row>
    <row r="106" spans="1:19" x14ac:dyDescent="0.35">
      <c r="A106" s="13"/>
      <c r="B106" s="13"/>
      <c r="C106" s="447" t="s">
        <v>14</v>
      </c>
      <c r="D106" s="448">
        <f>(directN2O_1!C45+directN2O_1!P45+directN2O_1!Q45)*directN2O_1!R45</f>
        <v>3.1745245714285715</v>
      </c>
      <c r="E106" s="13"/>
      <c r="F106" s="13"/>
      <c r="G106" s="13"/>
      <c r="H106" s="13"/>
      <c r="I106" s="13"/>
      <c r="J106" s="458" t="s">
        <v>14</v>
      </c>
      <c r="K106" s="13"/>
      <c r="L106" s="13"/>
      <c r="M106" s="136" t="s">
        <v>111</v>
      </c>
      <c r="N106" s="439">
        <f t="shared" si="2"/>
        <v>4.9885386122448976</v>
      </c>
      <c r="O106" s="13"/>
      <c r="P106" s="13"/>
      <c r="Q106" s="13"/>
      <c r="R106" s="13"/>
      <c r="S106" s="13"/>
    </row>
    <row r="107" spans="1:19" x14ac:dyDescent="0.35">
      <c r="A107" s="13"/>
      <c r="B107" s="13"/>
      <c r="C107" s="447" t="s">
        <v>667</v>
      </c>
      <c r="D107" s="448">
        <f>(directN2O_1!C46+directN2O_1!P46+directN2O_1!Q46)*directN2O_1!R46</f>
        <v>3.3212142857142863</v>
      </c>
      <c r="E107" s="13"/>
      <c r="F107" s="13"/>
      <c r="G107" s="13"/>
      <c r="H107" s="13"/>
      <c r="I107" s="13"/>
      <c r="J107" s="458" t="s">
        <v>785</v>
      </c>
      <c r="K107" s="13"/>
      <c r="L107" s="13"/>
      <c r="M107" s="136" t="s">
        <v>111</v>
      </c>
      <c r="N107" s="439">
        <f t="shared" si="2"/>
        <v>5.2190510204081644</v>
      </c>
      <c r="O107" s="13"/>
      <c r="P107" s="13"/>
      <c r="Q107" s="13"/>
      <c r="R107" s="13"/>
      <c r="S107" s="13"/>
    </row>
    <row r="108" spans="1:19" x14ac:dyDescent="0.35">
      <c r="A108" s="13"/>
      <c r="B108" s="13"/>
      <c r="C108" s="447" t="s">
        <v>668</v>
      </c>
      <c r="D108" s="448">
        <f>(directN2O_1!C47+directN2O_1!P47+directN2O_1!Q47)*directN2O_1!R47</f>
        <v>3.8115000000000006</v>
      </c>
      <c r="E108" s="13"/>
      <c r="F108" s="13"/>
      <c r="G108" s="13"/>
      <c r="H108" s="13"/>
      <c r="I108" s="13"/>
      <c r="J108" s="458" t="s">
        <v>786</v>
      </c>
      <c r="K108" s="13"/>
      <c r="L108" s="13"/>
      <c r="M108" s="136" t="s">
        <v>111</v>
      </c>
      <c r="N108" s="439">
        <f t="shared" si="2"/>
        <v>5.9895000000000005</v>
      </c>
      <c r="O108" s="13"/>
      <c r="P108" s="13"/>
      <c r="Q108" s="13"/>
      <c r="R108" s="13"/>
      <c r="S108" s="13"/>
    </row>
    <row r="109" spans="1:19" x14ac:dyDescent="0.35">
      <c r="A109" s="13"/>
      <c r="B109" s="13"/>
      <c r="C109" s="447" t="s">
        <v>28</v>
      </c>
      <c r="D109" s="448">
        <f>(directN2O_1!C48+directN2O_1!P48+directN2O_1!Q48)*directN2O_1!R48</f>
        <v>4.8208973214285722</v>
      </c>
      <c r="E109" s="13"/>
      <c r="F109" s="13"/>
      <c r="G109" s="13"/>
      <c r="H109" s="13"/>
      <c r="I109" s="13"/>
      <c r="J109" s="458" t="s">
        <v>28</v>
      </c>
      <c r="K109" s="13"/>
      <c r="L109" s="13"/>
      <c r="M109" s="136" t="s">
        <v>111</v>
      </c>
      <c r="N109" s="439">
        <f t="shared" si="2"/>
        <v>7.5756957908163276</v>
      </c>
      <c r="O109" s="13"/>
      <c r="P109" s="13"/>
      <c r="Q109" s="13"/>
      <c r="R109" s="13"/>
      <c r="S109" s="13"/>
    </row>
    <row r="110" spans="1:19" x14ac:dyDescent="0.35">
      <c r="A110" s="13"/>
      <c r="B110" s="13"/>
      <c r="C110" s="447" t="s">
        <v>29</v>
      </c>
      <c r="D110" s="448">
        <f>(directN2O_1!C49+directN2O_1!P49+directN2O_1!Q49)*directN2O_1!R49</f>
        <v>4.8184482499999994</v>
      </c>
      <c r="E110" s="13"/>
      <c r="F110" s="13"/>
      <c r="G110" s="13"/>
      <c r="H110" s="13"/>
      <c r="I110" s="13"/>
      <c r="J110" s="458" t="s">
        <v>29</v>
      </c>
      <c r="K110" s="13"/>
      <c r="L110" s="13"/>
      <c r="M110" s="136" t="s">
        <v>111</v>
      </c>
      <c r="N110" s="439">
        <f t="shared" si="2"/>
        <v>7.5718472499999985</v>
      </c>
      <c r="O110" s="13"/>
      <c r="P110" s="13"/>
      <c r="Q110" s="13"/>
      <c r="R110" s="13"/>
      <c r="S110" s="13"/>
    </row>
    <row r="111" spans="1:19" x14ac:dyDescent="0.35">
      <c r="A111" s="13"/>
      <c r="B111" s="13"/>
      <c r="C111" s="449" t="s">
        <v>30</v>
      </c>
      <c r="D111" s="450">
        <f>(directN2O_1!C50+directN2O_1!P50+directN2O_1!Q50)*directN2O_1!R50</f>
        <v>5.0823771428571431</v>
      </c>
      <c r="E111" s="13"/>
      <c r="F111" s="13"/>
      <c r="G111" s="13"/>
      <c r="H111" s="13"/>
      <c r="I111" s="13"/>
      <c r="J111" s="459" t="s">
        <v>30</v>
      </c>
      <c r="K111" s="411"/>
      <c r="L111" s="411"/>
      <c r="M111" s="416" t="s">
        <v>111</v>
      </c>
      <c r="N111" s="455">
        <f t="shared" si="2"/>
        <v>7.9865926530612246</v>
      </c>
      <c r="O111" s="13"/>
      <c r="P111" s="13"/>
      <c r="Q111" s="13"/>
      <c r="R111" s="13"/>
      <c r="S111" s="13"/>
    </row>
    <row r="112" spans="1:19" x14ac:dyDescent="0.35">
      <c r="A112" s="13"/>
      <c r="B112" s="13"/>
      <c r="C112" s="13"/>
      <c r="D112" s="13"/>
      <c r="E112" s="13"/>
      <c r="F112" s="13"/>
      <c r="G112" s="13"/>
      <c r="H112" s="13"/>
      <c r="I112" s="13"/>
      <c r="J112" s="13"/>
      <c r="K112" s="13"/>
      <c r="L112" s="13"/>
      <c r="M112" s="13"/>
      <c r="N112" s="13"/>
      <c r="O112" s="13"/>
      <c r="P112" s="13"/>
      <c r="Q112" s="13"/>
      <c r="R112" s="13"/>
      <c r="S112" s="13"/>
    </row>
    <row r="113" spans="1:19" x14ac:dyDescent="0.35">
      <c r="A113" s="13"/>
      <c r="B113" s="13"/>
      <c r="C113" s="13"/>
      <c r="D113" s="12"/>
      <c r="E113" s="13"/>
      <c r="F113" s="13"/>
      <c r="G113" s="13"/>
      <c r="H113" s="13"/>
      <c r="I113" s="13"/>
      <c r="J113" s="13"/>
      <c r="K113" s="13"/>
      <c r="L113" s="13"/>
      <c r="M113" s="13"/>
      <c r="N113" s="13"/>
      <c r="O113" s="13"/>
      <c r="P113" s="13"/>
      <c r="Q113" s="13"/>
      <c r="R113" s="13"/>
      <c r="S113" s="13"/>
    </row>
    <row r="114" spans="1:19" x14ac:dyDescent="0.35">
      <c r="A114" s="13"/>
      <c r="B114" s="24" t="s">
        <v>804</v>
      </c>
      <c r="C114" s="13"/>
      <c r="D114" s="13"/>
      <c r="E114" s="13"/>
      <c r="F114" s="13"/>
      <c r="G114" s="13"/>
      <c r="H114" s="13"/>
      <c r="I114" s="13"/>
      <c r="J114" s="13"/>
      <c r="K114" s="13"/>
      <c r="L114" s="13"/>
      <c r="M114" s="13"/>
      <c r="N114" s="13"/>
      <c r="O114" s="13"/>
      <c r="P114" s="13"/>
      <c r="Q114" s="13"/>
      <c r="R114" s="13"/>
      <c r="S114" s="13"/>
    </row>
    <row r="115" spans="1:19" x14ac:dyDescent="0.35">
      <c r="A115" s="13"/>
      <c r="B115" s="13"/>
      <c r="C115" s="13"/>
      <c r="D115" s="13"/>
      <c r="E115" s="13"/>
      <c r="F115" s="13"/>
      <c r="G115" s="13"/>
      <c r="H115" s="13"/>
      <c r="I115" s="13"/>
      <c r="J115" s="13"/>
      <c r="K115" s="13"/>
      <c r="L115" s="13"/>
      <c r="M115" s="13"/>
      <c r="N115" s="13"/>
      <c r="O115" s="13"/>
      <c r="P115" s="13"/>
      <c r="Q115" s="13"/>
      <c r="R115" s="13"/>
      <c r="S115" s="13"/>
    </row>
    <row r="116" spans="1:19" x14ac:dyDescent="0.35">
      <c r="A116" s="13"/>
      <c r="B116" s="24" t="s">
        <v>805</v>
      </c>
      <c r="C116" s="13"/>
      <c r="D116" s="13"/>
      <c r="E116" s="13"/>
      <c r="F116" s="13"/>
      <c r="G116" s="13"/>
      <c r="H116" s="236"/>
      <c r="I116" s="13"/>
      <c r="J116" s="13"/>
      <c r="K116" s="13"/>
      <c r="L116" s="13"/>
      <c r="M116" s="13"/>
      <c r="N116" s="13"/>
      <c r="O116" s="13"/>
      <c r="P116" s="13"/>
      <c r="Q116" s="13"/>
      <c r="R116" s="13"/>
      <c r="S116" s="13"/>
    </row>
    <row r="117" spans="1:19" x14ac:dyDescent="0.35">
      <c r="A117" s="13"/>
      <c r="B117" s="13"/>
      <c r="C117" s="13"/>
      <c r="D117" s="13"/>
      <c r="E117" s="13"/>
      <c r="F117" s="13"/>
      <c r="G117" s="13"/>
      <c r="H117" s="13"/>
      <c r="I117" s="13"/>
      <c r="J117" s="13"/>
      <c r="K117" s="13"/>
      <c r="L117" s="13"/>
      <c r="M117" s="13"/>
      <c r="N117" s="13"/>
      <c r="O117" s="13"/>
      <c r="P117" s="13"/>
      <c r="Q117" s="13"/>
      <c r="R117" s="13"/>
      <c r="S117" s="13"/>
    </row>
    <row r="118" spans="1:19" x14ac:dyDescent="0.35">
      <c r="A118" s="13"/>
      <c r="B118" s="13"/>
      <c r="C118" s="138"/>
      <c r="D118" s="464" t="s">
        <v>791</v>
      </c>
      <c r="E118" s="13"/>
      <c r="F118" s="13"/>
      <c r="G118" s="13"/>
      <c r="H118" s="13"/>
      <c r="I118" s="13"/>
      <c r="J118" s="24"/>
      <c r="K118" s="13"/>
      <c r="L118" s="13"/>
      <c r="M118" s="13"/>
      <c r="N118" s="13"/>
      <c r="O118" s="13"/>
      <c r="P118" s="13"/>
      <c r="Q118" s="13"/>
      <c r="R118" s="469"/>
      <c r="S118" s="13"/>
    </row>
    <row r="119" spans="1:19" x14ac:dyDescent="0.35">
      <c r="A119" s="13"/>
      <c r="B119" s="13"/>
      <c r="C119" s="13"/>
      <c r="D119" s="411" t="s">
        <v>142</v>
      </c>
      <c r="E119" s="13"/>
      <c r="F119" s="13"/>
      <c r="G119" s="13"/>
      <c r="H119" s="13"/>
      <c r="I119" s="13"/>
      <c r="J119" s="24"/>
      <c r="K119" s="13"/>
      <c r="L119" s="13"/>
      <c r="M119" s="13"/>
      <c r="N119" s="24" t="s">
        <v>800</v>
      </c>
      <c r="O119" s="13"/>
      <c r="P119" s="13"/>
      <c r="Q119" s="13"/>
      <c r="R119" s="469"/>
      <c r="S119" s="13"/>
    </row>
    <row r="120" spans="1:19" x14ac:dyDescent="0.35">
      <c r="A120" s="13"/>
      <c r="B120" s="13"/>
      <c r="C120" s="388" t="s">
        <v>10</v>
      </c>
      <c r="D120" s="236">
        <f>(indirectN20_1!C22*indirectN20_1!D22)*indirectN20_1!E22</f>
        <v>0.29259999999999997</v>
      </c>
      <c r="E120" s="13"/>
      <c r="F120" s="13"/>
      <c r="G120" s="13"/>
      <c r="H120" s="13"/>
      <c r="I120" s="24"/>
      <c r="J120" s="109" t="s">
        <v>10</v>
      </c>
      <c r="K120" s="138"/>
      <c r="L120" s="138"/>
      <c r="M120" s="415" t="s">
        <v>111</v>
      </c>
      <c r="N120" s="443">
        <f t="shared" ref="N120:N129" si="3">D120*44/28</f>
        <v>0.45979999999999993</v>
      </c>
      <c r="O120" s="13"/>
      <c r="P120" s="13"/>
      <c r="Q120" s="13"/>
      <c r="R120" s="236"/>
      <c r="S120" s="13"/>
    </row>
    <row r="121" spans="1:19" x14ac:dyDescent="0.35">
      <c r="A121" s="13"/>
      <c r="B121" s="13"/>
      <c r="C121" s="389" t="s">
        <v>11</v>
      </c>
      <c r="D121" s="236">
        <f>(indirectN20_1!C23*indirectN20_1!D23)*indirectN20_1!E23</f>
        <v>0.20020000000000002</v>
      </c>
      <c r="E121" s="13"/>
      <c r="F121" s="13"/>
      <c r="G121" s="13"/>
      <c r="H121" s="13"/>
      <c r="I121" s="24"/>
      <c r="J121" s="24" t="s">
        <v>11</v>
      </c>
      <c r="K121" s="13"/>
      <c r="L121" s="13"/>
      <c r="M121" s="136" t="s">
        <v>111</v>
      </c>
      <c r="N121" s="439">
        <f t="shared" si="3"/>
        <v>0.31460000000000005</v>
      </c>
      <c r="O121" s="13"/>
      <c r="P121" s="13"/>
      <c r="Q121" s="13"/>
      <c r="R121" s="236"/>
      <c r="S121" s="13"/>
    </row>
    <row r="122" spans="1:19" x14ac:dyDescent="0.35">
      <c r="A122" s="13"/>
      <c r="B122" s="13"/>
      <c r="C122" s="389" t="s">
        <v>12</v>
      </c>
      <c r="D122" s="236">
        <f>(indirectN20_1!C24*indirectN20_1!D24)*indirectN20_1!E24</f>
        <v>0.29259999999999997</v>
      </c>
      <c r="E122" s="13"/>
      <c r="F122" s="13"/>
      <c r="G122" s="13"/>
      <c r="H122" s="13"/>
      <c r="I122" s="24"/>
      <c r="J122" s="24" t="s">
        <v>12</v>
      </c>
      <c r="K122" s="13"/>
      <c r="L122" s="13"/>
      <c r="M122" s="136" t="s">
        <v>111</v>
      </c>
      <c r="N122" s="439">
        <f t="shared" si="3"/>
        <v>0.45979999999999993</v>
      </c>
      <c r="O122" s="13"/>
      <c r="P122" s="13"/>
      <c r="Q122" s="13"/>
      <c r="R122" s="236"/>
      <c r="S122" s="13"/>
    </row>
    <row r="123" spans="1:19" x14ac:dyDescent="0.35">
      <c r="A123" s="13"/>
      <c r="B123" s="13"/>
      <c r="C123" s="389" t="s">
        <v>13</v>
      </c>
      <c r="D123" s="236">
        <f>(indirectN20_1!C25*indirectN20_1!D25)*indirectN20_1!E25</f>
        <v>0.24024000000000001</v>
      </c>
      <c r="E123" s="13"/>
      <c r="F123" s="13"/>
      <c r="G123" s="13"/>
      <c r="H123" s="13"/>
      <c r="I123" s="24"/>
      <c r="J123" s="24" t="s">
        <v>141</v>
      </c>
      <c r="K123" s="13"/>
      <c r="L123" s="13"/>
      <c r="M123" s="136" t="s">
        <v>111</v>
      </c>
      <c r="N123" s="439">
        <f t="shared" si="3"/>
        <v>0.37752000000000002</v>
      </c>
      <c r="O123" s="13"/>
      <c r="P123" s="13"/>
      <c r="Q123" s="13"/>
      <c r="R123" s="236"/>
      <c r="S123" s="13"/>
    </row>
    <row r="124" spans="1:19" x14ac:dyDescent="0.35">
      <c r="A124" s="13"/>
      <c r="B124" s="13"/>
      <c r="C124" s="389" t="s">
        <v>14</v>
      </c>
      <c r="D124" s="236">
        <f>(indirectN20_1!C26*indirectN20_1!D26)*indirectN20_1!E26</f>
        <v>0.23100000000000001</v>
      </c>
      <c r="E124" s="13"/>
      <c r="F124" s="13"/>
      <c r="G124" s="13"/>
      <c r="H124" s="13"/>
      <c r="I124" s="24"/>
      <c r="J124" s="24" t="s">
        <v>14</v>
      </c>
      <c r="K124" s="13"/>
      <c r="L124" s="13"/>
      <c r="M124" s="136" t="s">
        <v>111</v>
      </c>
      <c r="N124" s="439">
        <f t="shared" si="3"/>
        <v>0.36299999999999999</v>
      </c>
      <c r="O124" s="13"/>
      <c r="P124" s="13"/>
      <c r="Q124" s="13"/>
      <c r="R124" s="236"/>
      <c r="S124" s="13"/>
    </row>
    <row r="125" spans="1:19" x14ac:dyDescent="0.35">
      <c r="A125" s="13"/>
      <c r="B125" s="13"/>
      <c r="C125" s="389" t="s">
        <v>792</v>
      </c>
      <c r="D125" s="236">
        <f>(indirectN20_1!C27*indirectN20_1!D27)*indirectN20_1!E27</f>
        <v>0.1386</v>
      </c>
      <c r="E125" s="13"/>
      <c r="F125" s="13"/>
      <c r="G125" s="13"/>
      <c r="H125" s="13"/>
      <c r="I125" s="24"/>
      <c r="J125" s="458" t="s">
        <v>785</v>
      </c>
      <c r="K125" s="13"/>
      <c r="L125" s="13"/>
      <c r="M125" s="136" t="s">
        <v>111</v>
      </c>
      <c r="N125" s="439">
        <f t="shared" si="3"/>
        <v>0.21779999999999999</v>
      </c>
      <c r="O125" s="13"/>
      <c r="P125" s="13"/>
      <c r="Q125" s="13"/>
      <c r="R125" s="236"/>
      <c r="S125" s="13"/>
    </row>
    <row r="126" spans="1:19" x14ac:dyDescent="0.35">
      <c r="A126" s="13"/>
      <c r="B126" s="13"/>
      <c r="C126" s="389" t="s">
        <v>793</v>
      </c>
      <c r="D126" s="236">
        <f>(indirectN20_1!C28*indirectN20_1!D28)*indirectN20_1!E28</f>
        <v>0.1386</v>
      </c>
      <c r="E126" s="13"/>
      <c r="F126" s="13"/>
      <c r="G126" s="13"/>
      <c r="H126" s="13"/>
      <c r="I126" s="24"/>
      <c r="J126" s="458" t="s">
        <v>786</v>
      </c>
      <c r="K126" s="13"/>
      <c r="L126" s="13"/>
      <c r="M126" s="136" t="s">
        <v>111</v>
      </c>
      <c r="N126" s="439">
        <f t="shared" si="3"/>
        <v>0.21779999999999999</v>
      </c>
      <c r="O126" s="13"/>
      <c r="P126" s="13"/>
      <c r="Q126" s="13"/>
      <c r="R126" s="236"/>
      <c r="S126" s="13"/>
    </row>
    <row r="127" spans="1:19" x14ac:dyDescent="0.35">
      <c r="A127" s="13"/>
      <c r="B127" s="13"/>
      <c r="C127" s="389" t="s">
        <v>28</v>
      </c>
      <c r="D127" s="236">
        <f>(indirectN20_1!C29*indirectN20_1!D29)*indirectN20_1!E29</f>
        <v>0.12936</v>
      </c>
      <c r="E127" s="13"/>
      <c r="F127" s="13"/>
      <c r="G127" s="13"/>
      <c r="H127" s="13"/>
      <c r="I127" s="24"/>
      <c r="J127" s="24" t="s">
        <v>28</v>
      </c>
      <c r="K127" s="13"/>
      <c r="L127" s="13"/>
      <c r="M127" s="136" t="s">
        <v>111</v>
      </c>
      <c r="N127" s="439">
        <f t="shared" si="3"/>
        <v>0.20327999999999999</v>
      </c>
      <c r="O127" s="13"/>
      <c r="P127" s="13"/>
      <c r="Q127" s="13"/>
      <c r="R127" s="236"/>
      <c r="S127" s="13"/>
    </row>
    <row r="128" spans="1:19" x14ac:dyDescent="0.35">
      <c r="A128" s="13"/>
      <c r="B128" s="13"/>
      <c r="C128" s="389" t="s">
        <v>29</v>
      </c>
      <c r="D128" s="236">
        <f>(indirectN20_1!C30*indirectN20_1!D30)*indirectN20_1!E30</f>
        <v>0.154</v>
      </c>
      <c r="E128" s="13"/>
      <c r="F128" s="13"/>
      <c r="G128" s="13"/>
      <c r="H128" s="13"/>
      <c r="I128" s="24"/>
      <c r="J128" s="24" t="s">
        <v>29</v>
      </c>
      <c r="K128" s="13"/>
      <c r="L128" s="13"/>
      <c r="M128" s="136" t="s">
        <v>111</v>
      </c>
      <c r="N128" s="439">
        <f t="shared" si="3"/>
        <v>0.24199999999999999</v>
      </c>
      <c r="O128" s="13"/>
      <c r="P128" s="13"/>
      <c r="Q128" s="13"/>
      <c r="R128" s="236"/>
      <c r="S128" s="13"/>
    </row>
    <row r="129" spans="1:21" x14ac:dyDescent="0.35">
      <c r="A129" s="13"/>
      <c r="B129" s="13"/>
      <c r="C129" s="390" t="s">
        <v>30</v>
      </c>
      <c r="D129" s="249">
        <f>(indirectN20_1!C31*indirectN20_1!D31)*indirectN20_1!E31</f>
        <v>0.18479999999999999</v>
      </c>
      <c r="E129" s="13"/>
      <c r="F129" s="13"/>
      <c r="G129" s="13"/>
      <c r="H129" s="13"/>
      <c r="I129" s="24"/>
      <c r="J129" s="438" t="s">
        <v>30</v>
      </c>
      <c r="K129" s="411"/>
      <c r="L129" s="411"/>
      <c r="M129" s="416" t="s">
        <v>111</v>
      </c>
      <c r="N129" s="455">
        <f t="shared" si="3"/>
        <v>0.29039999999999999</v>
      </c>
      <c r="O129" s="13"/>
      <c r="P129" s="13"/>
      <c r="Q129" s="13"/>
      <c r="R129" s="236"/>
      <c r="S129" s="13"/>
    </row>
    <row r="130" spans="1:21" x14ac:dyDescent="0.35">
      <c r="A130" s="13"/>
      <c r="B130" s="13"/>
      <c r="C130" s="13"/>
      <c r="D130" s="236"/>
      <c r="E130" s="13"/>
      <c r="F130" s="13"/>
      <c r="G130" s="13"/>
      <c r="H130" s="13"/>
      <c r="I130" s="24"/>
      <c r="J130" s="13"/>
      <c r="K130" s="13"/>
      <c r="L130" s="13"/>
      <c r="M130" s="13"/>
      <c r="N130" s="13"/>
      <c r="O130" s="13"/>
      <c r="P130" s="13"/>
      <c r="Q130" s="13"/>
      <c r="R130" s="236"/>
      <c r="S130" s="13"/>
      <c r="T130" s="147"/>
      <c r="U130" s="158"/>
    </row>
    <row r="131" spans="1:21" x14ac:dyDescent="0.35">
      <c r="A131" s="13"/>
      <c r="B131" s="13"/>
      <c r="C131" s="13"/>
      <c r="D131" s="13"/>
      <c r="E131" s="13"/>
      <c r="F131" s="13"/>
      <c r="G131" s="13"/>
      <c r="H131" s="13"/>
      <c r="I131" s="13"/>
      <c r="J131" s="13"/>
      <c r="K131" s="13"/>
      <c r="L131" s="13"/>
      <c r="M131" s="13"/>
      <c r="N131" s="13"/>
      <c r="O131" s="13"/>
      <c r="P131" s="13"/>
      <c r="Q131" s="13"/>
      <c r="R131" s="13"/>
      <c r="S131" s="13"/>
    </row>
    <row r="132" spans="1:21" x14ac:dyDescent="0.35">
      <c r="A132" s="13"/>
      <c r="B132" s="24" t="s">
        <v>806</v>
      </c>
      <c r="C132" s="13"/>
      <c r="D132" s="13"/>
      <c r="E132" s="13"/>
      <c r="F132" s="13"/>
      <c r="G132" s="13"/>
      <c r="H132" s="13"/>
      <c r="I132" s="13"/>
      <c r="J132" s="13"/>
      <c r="K132" s="13"/>
      <c r="L132" s="13"/>
      <c r="M132" s="13"/>
      <c r="N132" s="13"/>
      <c r="O132" s="13"/>
      <c r="P132" s="13"/>
      <c r="Q132" s="13"/>
      <c r="R132" s="13"/>
      <c r="S132" s="13"/>
    </row>
    <row r="133" spans="1:21" x14ac:dyDescent="0.35">
      <c r="A133" s="13"/>
      <c r="B133" s="13"/>
      <c r="C133" s="13"/>
      <c r="D133" s="13"/>
      <c r="E133" s="13"/>
      <c r="F133" s="13"/>
      <c r="G133" s="13"/>
      <c r="H133" s="13"/>
      <c r="I133" s="13"/>
      <c r="J133" s="13"/>
      <c r="K133" s="13"/>
      <c r="L133" s="13"/>
      <c r="M133" s="13"/>
      <c r="N133" s="13"/>
      <c r="O133" s="13"/>
      <c r="P133" s="13"/>
      <c r="Q133" s="13"/>
      <c r="R133" s="13"/>
      <c r="S133" s="13"/>
    </row>
    <row r="134" spans="1:21" x14ac:dyDescent="0.35">
      <c r="A134" s="13"/>
      <c r="B134" s="13"/>
      <c r="C134" s="138"/>
      <c r="D134" s="467" t="s">
        <v>799</v>
      </c>
      <c r="E134" s="13"/>
      <c r="F134" s="13"/>
      <c r="G134" s="13"/>
      <c r="H134" s="13"/>
      <c r="I134" s="13"/>
      <c r="J134" s="13"/>
      <c r="K134" s="468"/>
      <c r="L134" s="13"/>
      <c r="M134" s="13"/>
      <c r="N134" s="13"/>
      <c r="O134" s="13"/>
      <c r="P134" s="13"/>
      <c r="Q134" s="13"/>
      <c r="R134" s="13"/>
      <c r="S134" s="13"/>
    </row>
    <row r="135" spans="1:21" x14ac:dyDescent="0.35">
      <c r="A135" s="13"/>
      <c r="B135" s="13"/>
      <c r="C135" s="411"/>
      <c r="D135" s="461" t="s">
        <v>143</v>
      </c>
      <c r="E135" s="13"/>
      <c r="F135" s="13"/>
      <c r="G135" s="13"/>
      <c r="H135" s="13"/>
      <c r="I135" s="13"/>
      <c r="J135" s="13"/>
      <c r="K135" s="469"/>
      <c r="L135" s="13"/>
      <c r="M135" s="13"/>
      <c r="N135" s="24" t="s">
        <v>800</v>
      </c>
      <c r="O135" s="13"/>
      <c r="P135" s="13"/>
      <c r="Q135" s="13"/>
      <c r="R135" s="13"/>
      <c r="S135" s="13"/>
    </row>
    <row r="136" spans="1:21" x14ac:dyDescent="0.35">
      <c r="A136" s="13"/>
      <c r="B136" s="13"/>
      <c r="C136" s="388" t="s">
        <v>10</v>
      </c>
      <c r="D136" s="402">
        <f>(indirectN2O_2!C23+indirectN2O_2!E23+indirectN2O_2!D23)*indirectN2O_2!F23*indirectN2O_2!G23</f>
        <v>0.65622349847999983</v>
      </c>
      <c r="E136" s="13"/>
      <c r="F136" s="13"/>
      <c r="G136" s="13"/>
      <c r="H136" s="13"/>
      <c r="I136" s="13"/>
      <c r="J136" s="109" t="s">
        <v>10</v>
      </c>
      <c r="K136" s="248"/>
      <c r="L136" s="138"/>
      <c r="M136" s="415" t="s">
        <v>111</v>
      </c>
      <c r="N136" s="443">
        <f>D136*44/28</f>
        <v>1.0312083547542854</v>
      </c>
      <c r="O136" s="13"/>
      <c r="P136" s="13"/>
      <c r="Q136" s="13"/>
      <c r="R136" s="13"/>
      <c r="S136" s="13"/>
    </row>
    <row r="137" spans="1:21" x14ac:dyDescent="0.35">
      <c r="A137" s="13"/>
      <c r="B137" s="13"/>
      <c r="C137" s="389" t="s">
        <v>11</v>
      </c>
      <c r="D137" s="159">
        <f>(indirectN2O_2!C24+indirectN2O_2!E24+indirectN2O_2!D24)*indirectN2O_2!F24*indirectN2O_2!G24</f>
        <v>0.47597140799999998</v>
      </c>
      <c r="E137" s="13"/>
      <c r="F137" s="13"/>
      <c r="G137" s="13"/>
      <c r="H137" s="13"/>
      <c r="I137" s="13"/>
      <c r="J137" s="24" t="s">
        <v>11</v>
      </c>
      <c r="K137" s="236"/>
      <c r="L137" s="13"/>
      <c r="M137" s="136" t="s">
        <v>111</v>
      </c>
      <c r="N137" s="439">
        <f t="shared" ref="N137:N144" si="4">D137*44/28</f>
        <v>0.74795506971428571</v>
      </c>
      <c r="O137" s="13"/>
      <c r="P137" s="13"/>
      <c r="Q137" s="13"/>
      <c r="R137" s="13"/>
      <c r="S137" s="13"/>
    </row>
    <row r="138" spans="1:21" x14ac:dyDescent="0.35">
      <c r="A138" s="13"/>
      <c r="B138" s="13"/>
      <c r="C138" s="389" t="s">
        <v>12</v>
      </c>
      <c r="D138" s="159">
        <f>(indirectN2O_2!C25+indirectN2O_2!E25+indirectN2O_2!D25)*indirectN2O_2!F25*indirectN2O_2!G25</f>
        <v>0.67461398399999994</v>
      </c>
      <c r="E138" s="13"/>
      <c r="F138" s="13"/>
      <c r="G138" s="13"/>
      <c r="H138" s="13"/>
      <c r="I138" s="13"/>
      <c r="J138" s="24" t="s">
        <v>12</v>
      </c>
      <c r="K138" s="236"/>
      <c r="L138" s="13"/>
      <c r="M138" s="136" t="s">
        <v>111</v>
      </c>
      <c r="N138" s="439">
        <f t="shared" si="4"/>
        <v>1.0601076891428571</v>
      </c>
      <c r="O138" s="13"/>
      <c r="P138" s="13"/>
      <c r="Q138" s="13"/>
      <c r="R138" s="13"/>
      <c r="S138" s="13"/>
    </row>
    <row r="139" spans="1:21" x14ac:dyDescent="0.35">
      <c r="A139" s="13"/>
      <c r="B139" s="13"/>
      <c r="C139" s="389" t="s">
        <v>13</v>
      </c>
      <c r="D139" s="159">
        <f>(indirectN2O_2!C26+indirectN2O_2!E26+indirectN2O_2!D26)*indirectN2O_2!F26*indirectN2O_2!G26</f>
        <v>0.61222867199999997</v>
      </c>
      <c r="E139" s="13"/>
      <c r="F139" s="13"/>
      <c r="G139" s="13"/>
      <c r="H139" s="13"/>
      <c r="I139" s="13"/>
      <c r="J139" s="24" t="s">
        <v>141</v>
      </c>
      <c r="K139" s="236"/>
      <c r="L139" s="13"/>
      <c r="M139" s="136" t="s">
        <v>111</v>
      </c>
      <c r="N139" s="439">
        <f t="shared" si="4"/>
        <v>0.96207362742857139</v>
      </c>
      <c r="O139" s="13"/>
      <c r="P139" s="13"/>
      <c r="Q139" s="13"/>
      <c r="R139" s="13"/>
      <c r="S139" s="13"/>
    </row>
    <row r="140" spans="1:21" x14ac:dyDescent="0.35">
      <c r="A140" s="13"/>
      <c r="B140" s="13"/>
      <c r="C140" s="389" t="s">
        <v>14</v>
      </c>
      <c r="D140" s="159">
        <f>(indirectN2O_2!C27+indirectN2O_2!E27+indirectN2O_2!D27)*indirectN2O_2!F27*indirectN2O_2!G27</f>
        <v>0.53332012799999995</v>
      </c>
      <c r="E140" s="13"/>
      <c r="F140" s="13"/>
      <c r="G140" s="13"/>
      <c r="H140" s="13"/>
      <c r="I140" s="13"/>
      <c r="J140" s="24" t="s">
        <v>14</v>
      </c>
      <c r="K140" s="236"/>
      <c r="L140" s="13"/>
      <c r="M140" s="136" t="s">
        <v>111</v>
      </c>
      <c r="N140" s="439">
        <f t="shared" si="4"/>
        <v>0.83807448685714281</v>
      </c>
      <c r="O140" s="13"/>
      <c r="P140" s="13"/>
      <c r="Q140" s="13"/>
      <c r="R140" s="13"/>
      <c r="S140" s="13"/>
    </row>
    <row r="141" spans="1:21" x14ac:dyDescent="0.35">
      <c r="A141" s="13"/>
      <c r="B141" s="13"/>
      <c r="C141" s="389" t="s">
        <v>26</v>
      </c>
      <c r="D141" s="159">
        <f>(indirectN2O_2!C28+indirectN2O_2!E28+indirectN2O_2!D28)*indirectN2O_2!F28*indirectN2O_2!G28</f>
        <v>0.23759999999999995</v>
      </c>
      <c r="E141" s="13"/>
      <c r="F141" s="13"/>
      <c r="G141" s="13"/>
      <c r="H141" s="13"/>
      <c r="I141" s="13"/>
      <c r="J141" s="24" t="s">
        <v>26</v>
      </c>
      <c r="K141" s="236"/>
      <c r="L141" s="13"/>
      <c r="M141" s="136" t="s">
        <v>111</v>
      </c>
      <c r="N141" s="439">
        <f t="shared" si="4"/>
        <v>0.37337142857142852</v>
      </c>
      <c r="O141" s="13"/>
      <c r="P141" s="13"/>
      <c r="Q141" s="13"/>
      <c r="R141" s="13"/>
      <c r="S141" s="13"/>
    </row>
    <row r="142" spans="1:21" x14ac:dyDescent="0.35">
      <c r="A142" s="13"/>
      <c r="B142" s="13"/>
      <c r="C142" s="389" t="s">
        <v>28</v>
      </c>
      <c r="D142" s="159">
        <f>(indirectN2O_2!C29+indirectN2O_2!E29+indirectN2O_2!D29)*indirectN2O_2!F29*indirectN2O_2!G29</f>
        <v>0.22175999999999998</v>
      </c>
      <c r="E142" s="13"/>
      <c r="F142" s="13"/>
      <c r="G142" s="13"/>
      <c r="H142" s="13"/>
      <c r="I142" s="13"/>
      <c r="J142" s="24" t="s">
        <v>28</v>
      </c>
      <c r="K142" s="236"/>
      <c r="L142" s="13"/>
      <c r="M142" s="136" t="s">
        <v>111</v>
      </c>
      <c r="N142" s="439">
        <f t="shared" si="4"/>
        <v>0.34847999999999996</v>
      </c>
      <c r="O142" s="13"/>
      <c r="P142" s="13"/>
      <c r="Q142" s="13"/>
      <c r="R142" s="13"/>
      <c r="S142" s="13"/>
    </row>
    <row r="143" spans="1:21" x14ac:dyDescent="0.35">
      <c r="A143" s="13"/>
      <c r="B143" s="13"/>
      <c r="C143" s="389" t="s">
        <v>29</v>
      </c>
      <c r="D143" s="159">
        <f>(indirectN2O_2!C30+indirectN2O_2!E30+indirectN2O_2!D30)*indirectN2O_2!F30*indirectN2O_2!G30</f>
        <v>0.26400000000000001</v>
      </c>
      <c r="E143" s="13"/>
      <c r="F143" s="13"/>
      <c r="G143" s="13"/>
      <c r="H143" s="13"/>
      <c r="I143" s="13"/>
      <c r="J143" s="24" t="s">
        <v>29</v>
      </c>
      <c r="K143" s="236"/>
      <c r="L143" s="13"/>
      <c r="M143" s="136" t="s">
        <v>111</v>
      </c>
      <c r="N143" s="439">
        <f t="shared" si="4"/>
        <v>0.41485714285714287</v>
      </c>
      <c r="O143" s="13"/>
      <c r="P143" s="13"/>
      <c r="Q143" s="13"/>
      <c r="R143" s="13"/>
      <c r="S143" s="13"/>
    </row>
    <row r="144" spans="1:21" x14ac:dyDescent="0.35">
      <c r="A144" s="13"/>
      <c r="B144" s="13"/>
      <c r="C144" s="390" t="s">
        <v>30</v>
      </c>
      <c r="D144" s="399">
        <f>(indirectN2O_2!C31+indirectN2O_2!E31+indirectN2O_2!D31)*indirectN2O_2!F31*indirectN2O_2!G31</f>
        <v>0.31679999999999997</v>
      </c>
      <c r="E144" s="13"/>
      <c r="F144" s="13"/>
      <c r="G144" s="13"/>
      <c r="H144" s="13"/>
      <c r="I144" s="13"/>
      <c r="J144" s="438" t="s">
        <v>30</v>
      </c>
      <c r="K144" s="249"/>
      <c r="L144" s="411"/>
      <c r="M144" s="416" t="s">
        <v>111</v>
      </c>
      <c r="N144" s="455">
        <f t="shared" si="4"/>
        <v>0.4978285714285714</v>
      </c>
      <c r="O144" s="13"/>
      <c r="P144" s="13"/>
      <c r="Q144" s="13"/>
      <c r="R144" s="13"/>
      <c r="S144" s="13"/>
    </row>
    <row r="145" spans="1:19" x14ac:dyDescent="0.35">
      <c r="A145" s="13"/>
      <c r="B145" s="13"/>
      <c r="C145" s="13"/>
      <c r="D145" s="13"/>
      <c r="E145" s="13"/>
      <c r="F145" s="13"/>
      <c r="G145" s="13"/>
      <c r="H145" s="13"/>
      <c r="I145" s="13"/>
      <c r="J145" s="13"/>
      <c r="K145" s="13"/>
      <c r="L145" s="13"/>
      <c r="M145" s="13"/>
      <c r="N145" s="13"/>
      <c r="O145" s="13"/>
      <c r="P145" s="13"/>
      <c r="Q145" s="13"/>
      <c r="R145" s="13"/>
      <c r="S145" s="13"/>
    </row>
    <row r="146" spans="1:19" x14ac:dyDescent="0.35">
      <c r="A146" s="13"/>
      <c r="B146" s="13"/>
      <c r="C146" s="13"/>
      <c r="D146" s="13"/>
      <c r="E146" s="13"/>
      <c r="F146" s="13"/>
      <c r="G146" s="13"/>
      <c r="H146" s="13"/>
      <c r="I146" s="13"/>
      <c r="J146" s="13"/>
      <c r="K146" s="13"/>
      <c r="L146" s="13"/>
      <c r="M146" s="13"/>
      <c r="N146" s="13"/>
      <c r="O146" s="13"/>
      <c r="P146" s="13"/>
      <c r="Q146" s="13"/>
      <c r="R146" s="13"/>
      <c r="S146" s="13"/>
    </row>
    <row r="147" spans="1:19" x14ac:dyDescent="0.35">
      <c r="A147" s="13"/>
      <c r="B147" s="13"/>
      <c r="C147" s="13"/>
      <c r="D147" s="13"/>
      <c r="E147" s="13"/>
      <c r="F147" s="13"/>
      <c r="G147" s="13"/>
      <c r="H147" s="13"/>
      <c r="I147" s="13"/>
      <c r="J147" s="13"/>
      <c r="K147" s="13"/>
      <c r="L147" s="13"/>
      <c r="M147" s="13"/>
      <c r="N147" s="13"/>
      <c r="O147" s="13"/>
      <c r="P147" s="13"/>
      <c r="Q147" s="13"/>
      <c r="R147" s="13"/>
      <c r="S147" s="13"/>
    </row>
    <row r="148" spans="1:19" x14ac:dyDescent="0.35">
      <c r="A148" s="13"/>
      <c r="B148" s="13"/>
      <c r="C148" s="13"/>
      <c r="D148" s="13"/>
      <c r="E148" s="13"/>
      <c r="F148" s="13"/>
      <c r="G148" s="13"/>
      <c r="H148" s="13"/>
      <c r="I148" s="13"/>
      <c r="J148" s="13"/>
      <c r="K148" s="13"/>
      <c r="L148" s="13"/>
      <c r="M148" s="13"/>
      <c r="N148" s="13"/>
      <c r="O148" s="13"/>
      <c r="P148" s="13"/>
      <c r="Q148" s="13"/>
      <c r="R148" s="13"/>
      <c r="S148" s="13"/>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50"/>
  <sheetViews>
    <sheetView zoomScale="110" zoomScaleNormal="110" workbookViewId="0">
      <selection activeCell="L21" sqref="L21"/>
    </sheetView>
  </sheetViews>
  <sheetFormatPr defaultRowHeight="14.5" x14ac:dyDescent="0.35"/>
  <cols>
    <col min="1" max="1" width="23.54296875" customWidth="1"/>
    <col min="2" max="2" width="14.1796875" customWidth="1"/>
    <col min="3" max="3" width="12.1796875" customWidth="1"/>
    <col min="4" max="5" width="15.81640625" customWidth="1"/>
    <col min="6" max="7" width="14" customWidth="1"/>
    <col min="8" max="8" width="15.81640625" customWidth="1"/>
    <col min="9" max="9" width="12.1796875" customWidth="1"/>
    <col min="10" max="10" width="14.453125" customWidth="1"/>
  </cols>
  <sheetData>
    <row r="1" spans="1:10" x14ac:dyDescent="0.35">
      <c r="A1" s="393" t="s">
        <v>715</v>
      </c>
    </row>
    <row r="4" spans="1:10" ht="11.9" customHeight="1" x14ac:dyDescent="0.35">
      <c r="A4" s="281" t="s">
        <v>144</v>
      </c>
      <c r="B4" s="531" t="s">
        <v>145</v>
      </c>
      <c r="C4" s="531"/>
      <c r="D4" s="531"/>
      <c r="E4" s="531"/>
      <c r="F4" s="531"/>
      <c r="G4" s="531"/>
      <c r="H4" s="531"/>
      <c r="I4" s="531"/>
      <c r="J4" s="531"/>
    </row>
    <row r="5" spans="1:10" ht="11.5" customHeight="1" x14ac:dyDescent="0.35">
      <c r="A5" s="281" t="s">
        <v>146</v>
      </c>
      <c r="B5" s="531" t="s">
        <v>147</v>
      </c>
      <c r="C5" s="531"/>
      <c r="D5" s="531"/>
      <c r="E5" s="531"/>
      <c r="F5" s="531"/>
      <c r="G5" s="531"/>
      <c r="H5" s="531"/>
      <c r="I5" s="531"/>
      <c r="J5" s="531"/>
    </row>
    <row r="6" spans="1:10" ht="11.9" customHeight="1" x14ac:dyDescent="0.35">
      <c r="A6" s="281" t="s">
        <v>148</v>
      </c>
      <c r="B6" s="532" t="s">
        <v>149</v>
      </c>
      <c r="C6" s="533"/>
      <c r="D6" s="533"/>
      <c r="E6" s="533"/>
      <c r="F6" s="533"/>
      <c r="G6" s="533"/>
      <c r="H6" s="533"/>
      <c r="I6" s="533"/>
      <c r="J6" s="533"/>
    </row>
    <row r="7" spans="1:10" ht="11.5" customHeight="1" x14ac:dyDescent="0.35">
      <c r="A7" s="282" t="s">
        <v>150</v>
      </c>
      <c r="B7" s="532" t="s">
        <v>151</v>
      </c>
      <c r="C7" s="533"/>
      <c r="D7" s="533"/>
      <c r="E7" s="533"/>
      <c r="F7" s="533"/>
      <c r="G7" s="533"/>
      <c r="H7" s="533"/>
      <c r="I7" s="533"/>
      <c r="J7" s="533"/>
    </row>
    <row r="8" spans="1:10" ht="12.65" customHeight="1" x14ac:dyDescent="0.35">
      <c r="A8" s="270"/>
      <c r="B8" s="534" t="s">
        <v>90</v>
      </c>
      <c r="C8" s="535"/>
      <c r="D8" s="535"/>
      <c r="E8" s="536" t="s">
        <v>91</v>
      </c>
      <c r="F8" s="536"/>
      <c r="G8" s="537" t="s">
        <v>92</v>
      </c>
      <c r="H8" s="537"/>
      <c r="I8" s="538" t="s">
        <v>93</v>
      </c>
      <c r="J8" s="538"/>
    </row>
    <row r="9" spans="1:10" ht="50" x14ac:dyDescent="0.35">
      <c r="A9" s="28" t="s">
        <v>152</v>
      </c>
      <c r="B9" s="143" t="s">
        <v>94</v>
      </c>
      <c r="C9" s="120" t="s">
        <v>153</v>
      </c>
      <c r="D9" s="120" t="s">
        <v>154</v>
      </c>
      <c r="E9" s="120" t="s">
        <v>155</v>
      </c>
      <c r="F9" s="120" t="s">
        <v>156</v>
      </c>
      <c r="G9" s="120" t="s">
        <v>157</v>
      </c>
      <c r="H9" s="120" t="s">
        <v>158</v>
      </c>
      <c r="I9" s="120" t="s">
        <v>159</v>
      </c>
      <c r="J9" s="120" t="s">
        <v>160</v>
      </c>
    </row>
    <row r="10" spans="1:10" ht="15" thickBot="1" x14ac:dyDescent="0.4">
      <c r="A10" s="20"/>
      <c r="B10" s="20"/>
      <c r="C10" s="20"/>
      <c r="D10" s="283" t="s">
        <v>95</v>
      </c>
      <c r="E10" s="20"/>
      <c r="F10" s="265" t="s">
        <v>161</v>
      </c>
      <c r="G10" s="20"/>
      <c r="H10" s="387" t="s">
        <v>162</v>
      </c>
      <c r="I10" s="20"/>
      <c r="J10" s="387" t="s">
        <v>163</v>
      </c>
    </row>
    <row r="11" spans="1:10" ht="15" thickTop="1" x14ac:dyDescent="0.35">
      <c r="A11" s="529" t="s">
        <v>164</v>
      </c>
      <c r="B11" s="530"/>
      <c r="C11" s="530"/>
      <c r="D11" s="530"/>
      <c r="E11" s="530"/>
      <c r="F11" s="530"/>
      <c r="G11" s="530"/>
      <c r="H11" s="530"/>
      <c r="I11" s="530"/>
      <c r="J11" s="530"/>
    </row>
    <row r="12" spans="1:10" x14ac:dyDescent="0.35">
      <c r="A12" s="471"/>
      <c r="B12" s="472"/>
      <c r="C12" s="472"/>
      <c r="D12" s="472"/>
      <c r="E12" s="472"/>
      <c r="F12" s="472"/>
      <c r="G12" s="472"/>
      <c r="H12" s="472"/>
      <c r="I12" s="472"/>
      <c r="J12" s="472"/>
    </row>
    <row r="14" spans="1:10" x14ac:dyDescent="0.35">
      <c r="A14" s="401" t="s">
        <v>10</v>
      </c>
      <c r="B14" s="402">
        <f>L53</f>
        <v>189.94954856310741</v>
      </c>
      <c r="C14" s="402">
        <f>Machinery!$C$109</f>
        <v>36.380400000000002</v>
      </c>
      <c r="D14" s="402">
        <f t="shared" ref="D14:D27" si="0">B14*C14</f>
        <v>6910.4405565452735</v>
      </c>
      <c r="E14" s="402">
        <f>'Other input data'!$E$12</f>
        <v>7.1325E-2</v>
      </c>
      <c r="F14" s="138"/>
      <c r="G14" s="403">
        <f>'Other input data'!$E$13</f>
        <v>8.3333333333333337E-6</v>
      </c>
      <c r="H14" s="138"/>
      <c r="I14" s="403">
        <f>'Other input data'!$E$14</f>
        <v>9.5277777777777776E-4</v>
      </c>
      <c r="J14" s="138"/>
    </row>
    <row r="15" spans="1:10" x14ac:dyDescent="0.35">
      <c r="A15" s="396" t="s">
        <v>11</v>
      </c>
      <c r="B15" s="159">
        <f>L64</f>
        <v>189.94954856310741</v>
      </c>
      <c r="C15" s="159">
        <f>Machinery!$C$109</f>
        <v>36.380400000000002</v>
      </c>
      <c r="D15" s="159">
        <f t="shared" si="0"/>
        <v>6910.4405565452735</v>
      </c>
      <c r="E15" s="159">
        <f>'Other input data'!$E$12</f>
        <v>7.1325E-2</v>
      </c>
      <c r="F15" s="13"/>
      <c r="G15" s="397">
        <f>'Other input data'!$E$13</f>
        <v>8.3333333333333337E-6</v>
      </c>
      <c r="H15" s="13"/>
      <c r="I15" s="397">
        <f>'Other input data'!$E$14</f>
        <v>9.5277777777777776E-4</v>
      </c>
      <c r="J15" s="13"/>
    </row>
    <row r="16" spans="1:10" x14ac:dyDescent="0.35">
      <c r="A16" s="396" t="s">
        <v>12</v>
      </c>
      <c r="B16" s="159">
        <f>L72</f>
        <v>97.840885461438234</v>
      </c>
      <c r="C16" s="159">
        <f>Machinery!$C$109</f>
        <v>36.380400000000002</v>
      </c>
      <c r="D16" s="159">
        <f t="shared" si="0"/>
        <v>3559.4905494413078</v>
      </c>
      <c r="E16" s="159">
        <f>'Other input data'!$E$12</f>
        <v>7.1325E-2</v>
      </c>
      <c r="F16" s="13"/>
      <c r="G16" s="397">
        <f>'Other input data'!$E$13</f>
        <v>8.3333333333333337E-6</v>
      </c>
      <c r="H16" s="13"/>
      <c r="I16" s="397">
        <f>'Other input data'!$E$14</f>
        <v>9.5277777777777776E-4</v>
      </c>
      <c r="J16" s="13"/>
    </row>
    <row r="17" spans="1:10" x14ac:dyDescent="0.35">
      <c r="A17" s="396" t="s">
        <v>13</v>
      </c>
      <c r="B17" s="159">
        <f>L81</f>
        <v>476.39938254683852</v>
      </c>
      <c r="C17" s="159">
        <f>Machinery!$C$109</f>
        <v>36.380400000000002</v>
      </c>
      <c r="D17" s="159">
        <f t="shared" si="0"/>
        <v>17331.600096807004</v>
      </c>
      <c r="E17" s="159">
        <f>'Other input data'!$E$12</f>
        <v>7.1325E-2</v>
      </c>
      <c r="F17" s="13"/>
      <c r="G17" s="397">
        <f>'Other input data'!$E$13</f>
        <v>8.3333333333333337E-6</v>
      </c>
      <c r="H17" s="13"/>
      <c r="I17" s="397">
        <f>'Other input data'!$E$14</f>
        <v>9.5277777777777776E-4</v>
      </c>
      <c r="J17" s="13"/>
    </row>
    <row r="18" spans="1:10" x14ac:dyDescent="0.35">
      <c r="A18" s="396" t="s">
        <v>14</v>
      </c>
      <c r="B18" s="159">
        <f>L91</f>
        <v>190.41338398570588</v>
      </c>
      <c r="C18" s="159">
        <f>Machinery!$C$109</f>
        <v>36.380400000000002</v>
      </c>
      <c r="D18" s="159">
        <f t="shared" si="0"/>
        <v>6927.3150747535747</v>
      </c>
      <c r="E18" s="159">
        <f>'Other input data'!$E$12</f>
        <v>7.1325E-2</v>
      </c>
      <c r="F18" s="13"/>
      <c r="G18" s="397">
        <f>'Other input data'!$E$13</f>
        <v>8.3333333333333337E-6</v>
      </c>
      <c r="H18" s="13"/>
      <c r="I18" s="397">
        <f>'Other input data'!$E$14</f>
        <v>9.5277777777777776E-4</v>
      </c>
      <c r="J18" s="13"/>
    </row>
    <row r="19" spans="1:10" x14ac:dyDescent="0.35">
      <c r="A19" s="401" t="s">
        <v>15</v>
      </c>
      <c r="B19" s="402">
        <f>L100</f>
        <v>162.94773052248709</v>
      </c>
      <c r="C19" s="402">
        <f>Machinery!$C$109</f>
        <v>36.380400000000002</v>
      </c>
      <c r="D19" s="402">
        <f t="shared" si="0"/>
        <v>5928.1036155002894</v>
      </c>
      <c r="E19" s="402">
        <f>'Other input data'!$E$12</f>
        <v>7.1325E-2</v>
      </c>
      <c r="F19" s="138"/>
      <c r="G19" s="403">
        <f>'Other input data'!$E$13</f>
        <v>8.3333333333333337E-6</v>
      </c>
      <c r="H19" s="138"/>
      <c r="I19" s="403">
        <f>'Other input data'!$E$14</f>
        <v>9.5277777777777776E-4</v>
      </c>
      <c r="J19" s="138"/>
    </row>
    <row r="20" spans="1:10" x14ac:dyDescent="0.35">
      <c r="A20" s="396" t="s">
        <v>16</v>
      </c>
      <c r="B20" s="159">
        <f>L102</f>
        <v>31.550597805990389</v>
      </c>
      <c r="C20" s="159">
        <f>Machinery!$C$109</f>
        <v>36.380400000000002</v>
      </c>
      <c r="D20" s="159">
        <f t="shared" si="0"/>
        <v>1147.8233684210527</v>
      </c>
      <c r="E20" s="159">
        <f>'Other input data'!$E$12</f>
        <v>7.1325E-2</v>
      </c>
      <c r="F20" s="13"/>
      <c r="G20" s="397">
        <f>'Other input data'!$E$13</f>
        <v>8.3333333333333337E-6</v>
      </c>
      <c r="H20" s="13"/>
      <c r="I20" s="397">
        <f>'Other input data'!$E$14</f>
        <v>9.5277777777777776E-4</v>
      </c>
      <c r="J20" s="13"/>
    </row>
    <row r="21" spans="1:10" x14ac:dyDescent="0.35">
      <c r="A21" s="398" t="s">
        <v>17</v>
      </c>
      <c r="B21" s="399">
        <f>L107</f>
        <v>89.439153573422473</v>
      </c>
      <c r="C21" s="399">
        <f>Machinery!$C$109</f>
        <v>36.380400000000002</v>
      </c>
      <c r="D21" s="399">
        <f t="shared" si="0"/>
        <v>3253.8321826625393</v>
      </c>
      <c r="E21" s="399">
        <f>'Other input data'!$E$12</f>
        <v>7.1325E-2</v>
      </c>
      <c r="F21" s="411"/>
      <c r="G21" s="400">
        <f>'Other input data'!$E$13</f>
        <v>8.3333333333333337E-6</v>
      </c>
      <c r="H21" s="411"/>
      <c r="I21" s="400">
        <f>'Other input data'!$E$14</f>
        <v>9.5277777777777776E-4</v>
      </c>
      <c r="J21" s="411"/>
    </row>
    <row r="22" spans="1:10" x14ac:dyDescent="0.35">
      <c r="A22" s="401" t="s">
        <v>18</v>
      </c>
      <c r="B22" s="402">
        <f>L116</f>
        <v>162.94773052248709</v>
      </c>
      <c r="C22" s="402">
        <f>Machinery!$C$109</f>
        <v>36.380400000000002</v>
      </c>
      <c r="D22" s="402">
        <f t="shared" si="0"/>
        <v>5928.1036155002894</v>
      </c>
      <c r="E22" s="402">
        <f>'Other input data'!$E$12</f>
        <v>7.1325E-2</v>
      </c>
      <c r="F22" s="138"/>
      <c r="G22" s="403">
        <f>'Other input data'!$E$13</f>
        <v>8.3333333333333337E-6</v>
      </c>
      <c r="H22" s="138"/>
      <c r="I22" s="403">
        <f>'Other input data'!$E$14</f>
        <v>9.5277777777777776E-4</v>
      </c>
      <c r="J22" s="138"/>
    </row>
    <row r="23" spans="1:10" x14ac:dyDescent="0.35">
      <c r="A23" s="398" t="s">
        <v>19</v>
      </c>
      <c r="B23" s="399">
        <f>L121</f>
        <v>49.530075187969928</v>
      </c>
      <c r="C23" s="399">
        <f>Machinery!$C$109</f>
        <v>36.380400000000002</v>
      </c>
      <c r="D23" s="399">
        <f t="shared" si="0"/>
        <v>1801.9239473684213</v>
      </c>
      <c r="E23" s="399">
        <f>'Other input data'!$E$12</f>
        <v>7.1325E-2</v>
      </c>
      <c r="F23" s="411"/>
      <c r="G23" s="400">
        <f>'Other input data'!$E$13</f>
        <v>8.3333333333333337E-6</v>
      </c>
      <c r="H23" s="411"/>
      <c r="I23" s="400">
        <f>'Other input data'!$E$14</f>
        <v>9.5277777777777776E-4</v>
      </c>
      <c r="J23" s="411"/>
    </row>
    <row r="24" spans="1:10" x14ac:dyDescent="0.35">
      <c r="A24" s="401" t="s">
        <v>20</v>
      </c>
      <c r="B24" s="402">
        <f>L131</f>
        <v>190.59934967778062</v>
      </c>
      <c r="C24" s="402">
        <f>Machinery!$C$109</f>
        <v>36.380400000000002</v>
      </c>
      <c r="D24" s="402">
        <f t="shared" si="0"/>
        <v>6934.0805810175307</v>
      </c>
      <c r="E24" s="402">
        <f>'Other input data'!$E$12</f>
        <v>7.1325E-2</v>
      </c>
      <c r="F24" s="138"/>
      <c r="G24" s="403">
        <f>'Other input data'!$E$13</f>
        <v>8.3333333333333337E-6</v>
      </c>
      <c r="H24" s="138"/>
      <c r="I24" s="403">
        <f>'Other input data'!$E$14</f>
        <v>9.5277777777777776E-4</v>
      </c>
      <c r="J24" s="138"/>
    </row>
    <row r="25" spans="1:10" x14ac:dyDescent="0.35">
      <c r="A25" s="398" t="s">
        <v>21</v>
      </c>
      <c r="B25" s="399">
        <f>L136</f>
        <v>67.882095297432897</v>
      </c>
      <c r="C25" s="399">
        <f>Machinery!$C$109</f>
        <v>36.380400000000002</v>
      </c>
      <c r="D25" s="399">
        <f t="shared" si="0"/>
        <v>2469.577779758728</v>
      </c>
      <c r="E25" s="399">
        <f>'Other input data'!$E$12</f>
        <v>7.1325E-2</v>
      </c>
      <c r="F25" s="411"/>
      <c r="G25" s="400">
        <f>'Other input data'!$E$13</f>
        <v>8.3333333333333337E-6</v>
      </c>
      <c r="H25" s="411"/>
      <c r="I25" s="400">
        <f>'Other input data'!$E$14</f>
        <v>9.5277777777777776E-4</v>
      </c>
      <c r="J25" s="411"/>
    </row>
    <row r="26" spans="1:10" x14ac:dyDescent="0.35">
      <c r="A26" s="396" t="s">
        <v>22</v>
      </c>
      <c r="B26" s="159">
        <f>L145</f>
        <v>147.37400245403276</v>
      </c>
      <c r="C26" s="159">
        <f>Machinery!$C$109</f>
        <v>36.380400000000002</v>
      </c>
      <c r="D26" s="159">
        <f t="shared" si="0"/>
        <v>5361.5251588786941</v>
      </c>
      <c r="E26" s="159">
        <f>'Other input data'!$E$12</f>
        <v>7.1325E-2</v>
      </c>
      <c r="F26" s="13"/>
      <c r="G26" s="397">
        <f>'Other input data'!$E$13</f>
        <v>8.3333333333333337E-6</v>
      </c>
      <c r="H26" s="13"/>
      <c r="I26" s="397">
        <f>'Other input data'!$E$14</f>
        <v>9.5277777777777776E-4</v>
      </c>
      <c r="J26" s="13"/>
    </row>
    <row r="27" spans="1:10" x14ac:dyDescent="0.35">
      <c r="A27" s="398" t="s">
        <v>23</v>
      </c>
      <c r="B27" s="399">
        <f>L150</f>
        <v>67.882095297432897</v>
      </c>
      <c r="C27" s="399">
        <f>Machinery!$C$109</f>
        <v>36.380400000000002</v>
      </c>
      <c r="D27" s="399">
        <f t="shared" si="0"/>
        <v>2469.577779758728</v>
      </c>
      <c r="E27" s="399">
        <f>'Other input data'!$E$12</f>
        <v>7.1325E-2</v>
      </c>
      <c r="F27" s="411"/>
      <c r="G27" s="400">
        <f>'Other input data'!$E$13</f>
        <v>8.3333333333333337E-6</v>
      </c>
      <c r="H27" s="411"/>
      <c r="I27" s="400">
        <f>'Other input data'!$E$14</f>
        <v>9.5277777777777776E-4</v>
      </c>
      <c r="J27" s="411"/>
    </row>
    <row r="30" spans="1:10" x14ac:dyDescent="0.35">
      <c r="A30" s="1"/>
    </row>
    <row r="33" spans="1:12" x14ac:dyDescent="0.35">
      <c r="G33" s="24"/>
      <c r="J33" s="24"/>
      <c r="K33" s="24"/>
    </row>
    <row r="34" spans="1:12" x14ac:dyDescent="0.35">
      <c r="G34" s="13"/>
      <c r="J34" s="13"/>
      <c r="K34" s="24"/>
    </row>
    <row r="35" spans="1:12" x14ac:dyDescent="0.35">
      <c r="G35" s="13"/>
      <c r="J35" s="13"/>
      <c r="K35" s="13"/>
    </row>
    <row r="36" spans="1:12" x14ac:dyDescent="0.35">
      <c r="G36" s="13"/>
      <c r="J36" s="13"/>
      <c r="K36" s="13"/>
    </row>
    <row r="37" spans="1:12" x14ac:dyDescent="0.35">
      <c r="K37" s="13"/>
    </row>
    <row r="41" spans="1:12" ht="23" x14ac:dyDescent="0.35">
      <c r="A41" s="106"/>
      <c r="B41" s="106"/>
      <c r="C41" s="107" t="s">
        <v>173</v>
      </c>
      <c r="D41" s="107" t="s">
        <v>174</v>
      </c>
      <c r="E41" s="108" t="s">
        <v>175</v>
      </c>
      <c r="F41" s="201" t="s">
        <v>176</v>
      </c>
      <c r="G41" s="201" t="s">
        <v>177</v>
      </c>
      <c r="H41" s="201" t="s">
        <v>178</v>
      </c>
      <c r="I41" s="201" t="s">
        <v>179</v>
      </c>
      <c r="J41" s="201" t="s">
        <v>180</v>
      </c>
      <c r="K41" s="201" t="s">
        <v>181</v>
      </c>
      <c r="L41" s="201" t="s">
        <v>182</v>
      </c>
    </row>
    <row r="42" spans="1:12" x14ac:dyDescent="0.35">
      <c r="A42" s="92"/>
      <c r="B42" s="96"/>
      <c r="C42" s="96"/>
      <c r="D42" s="96"/>
      <c r="E42" s="94" t="s">
        <v>183</v>
      </c>
      <c r="F42" s="95" t="s">
        <v>184</v>
      </c>
      <c r="G42" s="95" t="s">
        <v>185</v>
      </c>
      <c r="H42" s="95" t="s">
        <v>186</v>
      </c>
      <c r="I42" s="95" t="s">
        <v>106</v>
      </c>
      <c r="J42" s="95" t="s">
        <v>186</v>
      </c>
      <c r="K42" s="95" t="s">
        <v>106</v>
      </c>
      <c r="L42" s="95" t="s">
        <v>186</v>
      </c>
    </row>
    <row r="43" spans="1:12" x14ac:dyDescent="0.35">
      <c r="A43" s="109" t="s">
        <v>10</v>
      </c>
      <c r="B43" s="34" t="s">
        <v>187</v>
      </c>
      <c r="C43" s="34" t="s">
        <v>188</v>
      </c>
      <c r="D43" s="33" t="s">
        <v>189</v>
      </c>
      <c r="E43" s="82">
        <f>VLOOKUP($D43,Machinery!$B$3:$C$23,2,FALSE)</f>
        <v>142</v>
      </c>
      <c r="F43" s="347">
        <f>(Machinery!$C$106*Diesel!E43)/(Machinery!$C$107*1000)</f>
        <v>36.580796252927399</v>
      </c>
      <c r="G43" s="210">
        <f>VLOOKUP($C43,Machinery!C$55:E$64,3,FALSE)</f>
        <v>1.1000000000000001</v>
      </c>
      <c r="H43" s="347">
        <f>F43/G43</f>
        <v>33.255269320843091</v>
      </c>
      <c r="I43" s="212">
        <v>1</v>
      </c>
      <c r="J43" s="348">
        <f>H43*I43</f>
        <v>33.255269320843091</v>
      </c>
      <c r="K43" s="85">
        <f>VLOOKUP($C43,Machinery!C$55:D$64,2,FALSE)</f>
        <v>1.2</v>
      </c>
      <c r="L43" s="348">
        <f>J43*K43</f>
        <v>39.906323185011708</v>
      </c>
    </row>
    <row r="44" spans="1:12" x14ac:dyDescent="0.35">
      <c r="B44" s="34"/>
      <c r="C44" s="34" t="s">
        <v>190</v>
      </c>
      <c r="D44" s="33" t="s">
        <v>191</v>
      </c>
      <c r="E44" s="82">
        <f>VLOOKUP($D44,Machinery!$B$3:$C$23,2,FALSE)</f>
        <v>167</v>
      </c>
      <c r="F44" s="347">
        <f>(Machinery!$C$106*Diesel!E44)/(Machinery!$C$107*1000)</f>
        <v>43.021077283372364</v>
      </c>
      <c r="G44" s="210">
        <f>VLOOKUP($C44,Machinery!C$55:E$64,3,FALSE)</f>
        <v>2</v>
      </c>
      <c r="H44" s="347">
        <f t="shared" ref="H44:H63" si="1">F44/G44</f>
        <v>21.510538641686182</v>
      </c>
      <c r="I44" s="212">
        <v>1</v>
      </c>
      <c r="J44" s="348">
        <f t="shared" ref="J44:J63" si="2">H44*I44</f>
        <v>21.510538641686182</v>
      </c>
      <c r="K44" s="85">
        <f>VLOOKUP($C44,Machinery!C$55:D$64,2,FALSE)</f>
        <v>0.6</v>
      </c>
      <c r="L44" s="348">
        <f t="shared" ref="L44:L101" si="3">J44*K44</f>
        <v>12.906323185011709</v>
      </c>
    </row>
    <row r="45" spans="1:12" x14ac:dyDescent="0.35">
      <c r="B45" s="34"/>
      <c r="C45" s="34" t="s">
        <v>192</v>
      </c>
      <c r="D45" s="33" t="s">
        <v>193</v>
      </c>
      <c r="E45" s="82">
        <f>VLOOKUP($D45,Machinery!$B$3:$C$23,2,FALSE)</f>
        <v>75</v>
      </c>
      <c r="F45" s="347">
        <f>(Machinery!$C$106*Diesel!E45)/(Machinery!$C$107*1000)</f>
        <v>19.320843091334893</v>
      </c>
      <c r="G45" s="210">
        <f>VLOOKUP($C45,Machinery!C$55:E$64,3,FALSE)</f>
        <v>2.8</v>
      </c>
      <c r="H45" s="347">
        <f t="shared" si="1"/>
        <v>6.900301104048177</v>
      </c>
      <c r="I45" s="212">
        <v>2</v>
      </c>
      <c r="J45" s="348">
        <f t="shared" si="2"/>
        <v>13.800602208096354</v>
      </c>
      <c r="K45" s="85">
        <f>VLOOKUP($C45,Machinery!C$55:D$64,2,FALSE)</f>
        <v>1</v>
      </c>
      <c r="L45" s="348">
        <f t="shared" si="3"/>
        <v>13.800602208096354</v>
      </c>
    </row>
    <row r="46" spans="1:12" x14ac:dyDescent="0.35">
      <c r="B46" s="34"/>
      <c r="C46" s="34" t="s">
        <v>194</v>
      </c>
      <c r="D46" s="33" t="s">
        <v>195</v>
      </c>
      <c r="E46" s="82">
        <f>VLOOKUP($D46,Machinery!$B$3:$C$23,2,FALSE)</f>
        <v>200</v>
      </c>
      <c r="F46" s="347">
        <f>(Machinery!$C$106*Diesel!E46)/(Machinery!$C$107*1000)</f>
        <v>51.522248243559716</v>
      </c>
      <c r="G46" s="210">
        <f>VLOOKUP($C46,Machinery!C$55:E$64,3,FALSE)</f>
        <v>2.9</v>
      </c>
      <c r="H46" s="347">
        <f t="shared" si="1"/>
        <v>17.766292497779212</v>
      </c>
      <c r="I46" s="212">
        <v>1</v>
      </c>
      <c r="J46" s="348">
        <f t="shared" si="2"/>
        <v>17.766292497779212</v>
      </c>
      <c r="K46" s="85">
        <f>VLOOKUP($C46,Machinery!C$55:D$64,2,FALSE)</f>
        <v>1.5</v>
      </c>
      <c r="L46" s="348">
        <f t="shared" si="3"/>
        <v>26.649438746668817</v>
      </c>
    </row>
    <row r="47" spans="1:12" x14ac:dyDescent="0.35">
      <c r="B47" s="34" t="s">
        <v>196</v>
      </c>
      <c r="C47" s="34" t="s">
        <v>196</v>
      </c>
      <c r="D47" s="33" t="s">
        <v>197</v>
      </c>
      <c r="E47" s="82">
        <f>VLOOKUP($D47,Machinery!$B$3:$C$23,2,FALSE)</f>
        <v>200</v>
      </c>
      <c r="F47" s="347">
        <f>(Machinery!$C$106*Diesel!E47)/(Machinery!$C$107*1000)</f>
        <v>51.522248243559716</v>
      </c>
      <c r="G47" s="210">
        <f>VLOOKUP($C47,Machinery!C$55:E$64,3,FALSE)</f>
        <v>4.0999999999999996</v>
      </c>
      <c r="H47" s="347">
        <f t="shared" si="1"/>
        <v>12.566402010624323</v>
      </c>
      <c r="I47" s="212">
        <v>1</v>
      </c>
      <c r="J47" s="348">
        <f t="shared" si="2"/>
        <v>12.566402010624323</v>
      </c>
      <c r="K47" s="85">
        <f>VLOOKUP($C47,Machinery!C$55:D$64,2,FALSE)</f>
        <v>1</v>
      </c>
      <c r="L47" s="348">
        <f t="shared" si="3"/>
        <v>12.566402010624323</v>
      </c>
    </row>
    <row r="48" spans="1:12" x14ac:dyDescent="0.35">
      <c r="B48" s="34" t="s">
        <v>198</v>
      </c>
      <c r="C48" s="34" t="s">
        <v>198</v>
      </c>
      <c r="D48" s="33" t="s">
        <v>199</v>
      </c>
      <c r="E48" s="82">
        <f>VLOOKUP($D48,Machinery!$B$3:$C$23,2,FALSE)</f>
        <v>179</v>
      </c>
      <c r="F48" s="347">
        <f>(Machinery!$C$106*Diesel!E48)/(Machinery!$C$107*1000)</f>
        <v>46.112412177985945</v>
      </c>
      <c r="G48" s="210">
        <f>VLOOKUP($C48,Machinery!C$55:E$64,3,FALSE)</f>
        <v>7.6</v>
      </c>
      <c r="H48" s="347">
        <f t="shared" si="1"/>
        <v>6.0674226549981514</v>
      </c>
      <c r="I48" s="212">
        <v>1</v>
      </c>
      <c r="J48" s="348">
        <f t="shared" si="2"/>
        <v>6.0674226549981514</v>
      </c>
      <c r="K48" s="85">
        <f>VLOOKUP($C48,Machinery!C$55:D$64,2,FALSE)</f>
        <v>5.2</v>
      </c>
      <c r="L48" s="348">
        <f t="shared" si="3"/>
        <v>31.550597805990389</v>
      </c>
    </row>
    <row r="49" spans="1:12" x14ac:dyDescent="0.35">
      <c r="B49" s="34" t="s">
        <v>200</v>
      </c>
      <c r="C49" s="34" t="s">
        <v>200</v>
      </c>
      <c r="D49" s="33" t="s">
        <v>199</v>
      </c>
      <c r="E49" s="82">
        <f>VLOOKUP($D49,Machinery!$B$3:$C$23,2,FALSE)</f>
        <v>179</v>
      </c>
      <c r="F49" s="347">
        <f>(Machinery!$C$106*Diesel!E49)/(Machinery!$C$107*1000)</f>
        <v>46.112412177985945</v>
      </c>
      <c r="G49" s="210">
        <f>VLOOKUP($C49,Machinery!C$55:E$64,3,FALSE)</f>
        <v>7.6</v>
      </c>
      <c r="H49" s="347">
        <f t="shared" si="1"/>
        <v>6.0674226549981514</v>
      </c>
      <c r="I49" s="212">
        <v>1</v>
      </c>
      <c r="J49" s="348">
        <f t="shared" si="2"/>
        <v>6.0674226549981514</v>
      </c>
      <c r="K49" s="85">
        <f>VLOOKUP($C49,Machinery!C$55:D$64,2,FALSE)</f>
        <v>0.6</v>
      </c>
      <c r="L49" s="348">
        <f t="shared" si="3"/>
        <v>3.6404535929988908</v>
      </c>
    </row>
    <row r="50" spans="1:12" x14ac:dyDescent="0.35">
      <c r="B50" s="34" t="s">
        <v>201</v>
      </c>
      <c r="C50" s="34" t="s">
        <v>202</v>
      </c>
      <c r="D50" s="33" t="s">
        <v>203</v>
      </c>
      <c r="E50" s="82">
        <f>VLOOKUP($D50,Machinery!$B$3:$C$23,2,FALSE)</f>
        <v>150</v>
      </c>
      <c r="F50" s="347">
        <f>(Machinery!$C$106*Diesel!E50)/(Machinery!$C$107*1000)</f>
        <v>38.641686182669787</v>
      </c>
      <c r="G50" s="210">
        <f>VLOOKUP($C50,Machinery!C$55:E$64,3,FALSE)</f>
        <v>1.1000000000000001</v>
      </c>
      <c r="H50" s="347">
        <f t="shared" si="1"/>
        <v>35.128805620608894</v>
      </c>
      <c r="I50" s="212">
        <v>1</v>
      </c>
      <c r="J50" s="348">
        <f t="shared" si="2"/>
        <v>35.128805620608894</v>
      </c>
      <c r="K50" s="85">
        <f>VLOOKUP($C50,Machinery!C$55:D$64,2,FALSE)</f>
        <v>1</v>
      </c>
      <c r="L50" s="348">
        <f t="shared" si="3"/>
        <v>35.128805620608894</v>
      </c>
    </row>
    <row r="51" spans="1:12" x14ac:dyDescent="0.35">
      <c r="B51" s="34" t="s">
        <v>204</v>
      </c>
      <c r="C51" s="34" t="s">
        <v>204</v>
      </c>
      <c r="D51" s="33" t="s">
        <v>205</v>
      </c>
      <c r="E51" s="82">
        <f>VLOOKUP($D51,Machinery!$B$3:$C$23,2,FALSE)</f>
        <v>75</v>
      </c>
      <c r="F51" s="347">
        <f>(Machinery!$C$106*Diesel!E51)/(Machinery!$C$107*1000)</f>
        <v>19.320843091334893</v>
      </c>
      <c r="G51" s="210">
        <f>VLOOKUP($C51,Machinery!C$55:E$64,3,FALSE)</f>
        <v>1.4</v>
      </c>
      <c r="H51" s="347">
        <f t="shared" si="1"/>
        <v>13.800602208096354</v>
      </c>
      <c r="I51" s="212">
        <v>1</v>
      </c>
      <c r="J51" s="348">
        <f t="shared" si="2"/>
        <v>13.800602208096354</v>
      </c>
      <c r="K51" s="85">
        <f>VLOOKUP($C51,Machinery!C$55:D$64,2,FALSE)</f>
        <v>1</v>
      </c>
      <c r="L51" s="348">
        <f t="shared" si="3"/>
        <v>13.800602208096354</v>
      </c>
    </row>
    <row r="52" spans="1:12" x14ac:dyDescent="0.35">
      <c r="B52" s="34" t="s">
        <v>206</v>
      </c>
      <c r="C52" s="34" t="s">
        <v>206</v>
      </c>
      <c r="D52" s="33" t="s">
        <v>207</v>
      </c>
      <c r="E52" s="82">
        <f>VLOOKUP($D52,Machinery!$B$3:$C$23,2,FALSE)</f>
        <v>75</v>
      </c>
      <c r="F52" s="347">
        <f>(Machinery!$C$106*Diesel!E52)/(Machinery!$C$107*1000)</f>
        <v>19.320843091334893</v>
      </c>
      <c r="G52" s="210">
        <f>VLOOKUP($C52,Machinery!C$55:E$64,3,FALSE)</f>
        <v>4.2</v>
      </c>
      <c r="H52" s="347">
        <f t="shared" si="1"/>
        <v>4.6002007360321171</v>
      </c>
      <c r="I52" s="212">
        <v>1</v>
      </c>
      <c r="J52" s="348">
        <f t="shared" si="2"/>
        <v>4.6002007360321171</v>
      </c>
      <c r="K52" s="85">
        <f>VLOOKUP($C52,Machinery!C$55:D$64,2,FALSE)</f>
        <v>2</v>
      </c>
      <c r="L52" s="348">
        <f t="shared" si="3"/>
        <v>9.2004014720642342</v>
      </c>
    </row>
    <row r="53" spans="1:12" x14ac:dyDescent="0.35">
      <c r="A53" s="110"/>
      <c r="B53" s="104"/>
      <c r="C53" s="104"/>
      <c r="D53" s="104"/>
      <c r="E53" s="104"/>
      <c r="F53" s="104"/>
      <c r="G53" s="104"/>
      <c r="H53" s="104"/>
      <c r="I53" s="104"/>
      <c r="J53" s="105" t="s">
        <v>208</v>
      </c>
      <c r="K53" s="104"/>
      <c r="L53" s="349">
        <f>SUM(L43:L51)</f>
        <v>189.94954856310741</v>
      </c>
    </row>
    <row r="54" spans="1:12" x14ac:dyDescent="0.35">
      <c r="A54" s="97" t="s">
        <v>11</v>
      </c>
      <c r="B54" s="34" t="s">
        <v>187</v>
      </c>
      <c r="C54" s="34" t="s">
        <v>188</v>
      </c>
      <c r="D54" s="33" t="s">
        <v>189</v>
      </c>
      <c r="E54" s="82">
        <f>VLOOKUP($D54,Machinery!$B$3:$C$23,2,FALSE)</f>
        <v>142</v>
      </c>
      <c r="F54" s="347">
        <f>(Machinery!$C$106*Diesel!E54)/(Machinery!$C$107*1000)</f>
        <v>36.580796252927399</v>
      </c>
      <c r="G54" s="210">
        <f>VLOOKUP($C54,Machinery!C$55:E$64,3,FALSE)</f>
        <v>1.1000000000000001</v>
      </c>
      <c r="H54" s="347">
        <f t="shared" si="1"/>
        <v>33.255269320843091</v>
      </c>
      <c r="I54" s="212">
        <v>1</v>
      </c>
      <c r="J54" s="348">
        <f t="shared" si="2"/>
        <v>33.255269320843091</v>
      </c>
      <c r="K54" s="85">
        <f>VLOOKUP($C54,Machinery!C$55:D$64,2,FALSE)</f>
        <v>1.2</v>
      </c>
      <c r="L54" s="348">
        <f t="shared" si="3"/>
        <v>39.906323185011708</v>
      </c>
    </row>
    <row r="55" spans="1:12" x14ac:dyDescent="0.35">
      <c r="B55" s="34"/>
      <c r="C55" s="34" t="s">
        <v>190</v>
      </c>
      <c r="D55" s="33" t="s">
        <v>191</v>
      </c>
      <c r="E55" s="82">
        <f>VLOOKUP($D55,Machinery!$B$3:$C$23,2,FALSE)</f>
        <v>167</v>
      </c>
      <c r="F55" s="347">
        <f>(Machinery!$C$106*Diesel!E55)/(Machinery!$C$107*1000)</f>
        <v>43.021077283372364</v>
      </c>
      <c r="G55" s="210">
        <f>VLOOKUP($C55,Machinery!C$55:E$64,3,FALSE)</f>
        <v>2</v>
      </c>
      <c r="H55" s="347">
        <f t="shared" si="1"/>
        <v>21.510538641686182</v>
      </c>
      <c r="I55" s="212">
        <v>1</v>
      </c>
      <c r="J55" s="348">
        <f t="shared" si="2"/>
        <v>21.510538641686182</v>
      </c>
      <c r="K55" s="85">
        <f>VLOOKUP($C55,Machinery!C$55:D$64,2,FALSE)</f>
        <v>0.6</v>
      </c>
      <c r="L55" s="348">
        <f t="shared" si="3"/>
        <v>12.906323185011709</v>
      </c>
    </row>
    <row r="56" spans="1:12" x14ac:dyDescent="0.35">
      <c r="B56" s="34"/>
      <c r="C56" s="34" t="s">
        <v>192</v>
      </c>
      <c r="D56" s="33" t="s">
        <v>193</v>
      </c>
      <c r="E56" s="82">
        <f>VLOOKUP($D56,Machinery!$B$3:$C$23,2,FALSE)</f>
        <v>75</v>
      </c>
      <c r="F56" s="347">
        <f>(Machinery!$C$106*Diesel!E56)/(Machinery!$C$107*1000)</f>
        <v>19.320843091334893</v>
      </c>
      <c r="G56" s="210">
        <f>VLOOKUP($C56,Machinery!C$55:E$64,3,FALSE)</f>
        <v>2.8</v>
      </c>
      <c r="H56" s="347">
        <f t="shared" si="1"/>
        <v>6.900301104048177</v>
      </c>
      <c r="I56" s="212">
        <v>2</v>
      </c>
      <c r="J56" s="348">
        <f t="shared" si="2"/>
        <v>13.800602208096354</v>
      </c>
      <c r="K56" s="85">
        <f>VLOOKUP($C56,Machinery!C$55:D$64,2,FALSE)</f>
        <v>1</v>
      </c>
      <c r="L56" s="348">
        <f t="shared" si="3"/>
        <v>13.800602208096354</v>
      </c>
    </row>
    <row r="57" spans="1:12" x14ac:dyDescent="0.35">
      <c r="B57" s="34"/>
      <c r="C57" s="34" t="s">
        <v>194</v>
      </c>
      <c r="D57" s="33" t="s">
        <v>195</v>
      </c>
      <c r="E57" s="82">
        <f>VLOOKUP($D57,Machinery!$B$3:$C$23,2,FALSE)</f>
        <v>200</v>
      </c>
      <c r="F57" s="347">
        <f>(Machinery!$C$106*Diesel!E57)/(Machinery!$C$107*1000)</f>
        <v>51.522248243559716</v>
      </c>
      <c r="G57" s="210">
        <f>VLOOKUP($C57,Machinery!C$55:E$64,3,FALSE)</f>
        <v>2.9</v>
      </c>
      <c r="H57" s="347">
        <f t="shared" si="1"/>
        <v>17.766292497779212</v>
      </c>
      <c r="I57" s="212">
        <v>1</v>
      </c>
      <c r="J57" s="348">
        <f t="shared" si="2"/>
        <v>17.766292497779212</v>
      </c>
      <c r="K57" s="85">
        <f>VLOOKUP($C57,Machinery!C$55:D$64,2,FALSE)</f>
        <v>1.5</v>
      </c>
      <c r="L57" s="348">
        <f t="shared" si="3"/>
        <v>26.649438746668817</v>
      </c>
    </row>
    <row r="58" spans="1:12" x14ac:dyDescent="0.35">
      <c r="B58" s="34" t="s">
        <v>196</v>
      </c>
      <c r="C58" s="34" t="s">
        <v>196</v>
      </c>
      <c r="D58" s="33" t="s">
        <v>197</v>
      </c>
      <c r="E58" s="82">
        <f>VLOOKUP($D58,Machinery!$B$3:$C$23,2,FALSE)</f>
        <v>200</v>
      </c>
      <c r="F58" s="347">
        <f>(Machinery!$C$106*Diesel!E58)/(Machinery!$C$107*1000)</f>
        <v>51.522248243559716</v>
      </c>
      <c r="G58" s="210">
        <f>VLOOKUP($C58,Machinery!C$55:E$64,3,FALSE)</f>
        <v>4.0999999999999996</v>
      </c>
      <c r="H58" s="347">
        <f t="shared" si="1"/>
        <v>12.566402010624323</v>
      </c>
      <c r="I58" s="212">
        <v>1</v>
      </c>
      <c r="J58" s="348">
        <f t="shared" si="2"/>
        <v>12.566402010624323</v>
      </c>
      <c r="K58" s="85">
        <f>VLOOKUP($C58,Machinery!C$55:D$64,2,FALSE)</f>
        <v>1</v>
      </c>
      <c r="L58" s="348">
        <f t="shared" si="3"/>
        <v>12.566402010624323</v>
      </c>
    </row>
    <row r="59" spans="1:12" x14ac:dyDescent="0.35">
      <c r="B59" s="34" t="s">
        <v>198</v>
      </c>
      <c r="C59" s="34" t="s">
        <v>198</v>
      </c>
      <c r="D59" s="33" t="s">
        <v>199</v>
      </c>
      <c r="E59" s="82">
        <f>VLOOKUP($D59,Machinery!$B$3:$C$23,2,FALSE)</f>
        <v>179</v>
      </c>
      <c r="F59" s="347">
        <f>(Machinery!$C$106*Diesel!E59)/(Machinery!$C$107*1000)</f>
        <v>46.112412177985945</v>
      </c>
      <c r="G59" s="210">
        <f>VLOOKUP($C59,Machinery!C$55:E$64,3,FALSE)</f>
        <v>7.6</v>
      </c>
      <c r="H59" s="347">
        <f t="shared" si="1"/>
        <v>6.0674226549981514</v>
      </c>
      <c r="I59" s="212">
        <v>1</v>
      </c>
      <c r="J59" s="348">
        <f t="shared" si="2"/>
        <v>6.0674226549981514</v>
      </c>
      <c r="K59" s="85">
        <f>VLOOKUP($C59,Machinery!C$55:D$64,2,FALSE)</f>
        <v>5.2</v>
      </c>
      <c r="L59" s="348">
        <f t="shared" si="3"/>
        <v>31.550597805990389</v>
      </c>
    </row>
    <row r="60" spans="1:12" x14ac:dyDescent="0.35">
      <c r="B60" s="34" t="s">
        <v>200</v>
      </c>
      <c r="C60" s="34" t="s">
        <v>200</v>
      </c>
      <c r="D60" s="33" t="s">
        <v>199</v>
      </c>
      <c r="E60" s="82">
        <f>VLOOKUP($D60,Machinery!$B$3:$C$23,2,FALSE)</f>
        <v>179</v>
      </c>
      <c r="F60" s="347">
        <f>(Machinery!$C$106*Diesel!E60)/(Machinery!$C$107*1000)</f>
        <v>46.112412177985945</v>
      </c>
      <c r="G60" s="210">
        <f>VLOOKUP($C60,Machinery!C$55:E$64,3,FALSE)</f>
        <v>7.6</v>
      </c>
      <c r="H60" s="347">
        <f t="shared" si="1"/>
        <v>6.0674226549981514</v>
      </c>
      <c r="I60" s="212">
        <v>1</v>
      </c>
      <c r="J60" s="348">
        <f t="shared" si="2"/>
        <v>6.0674226549981514</v>
      </c>
      <c r="K60" s="85">
        <f>VLOOKUP($C60,Machinery!C$55:D$64,2,FALSE)</f>
        <v>0.6</v>
      </c>
      <c r="L60" s="348">
        <f t="shared" si="3"/>
        <v>3.6404535929988908</v>
      </c>
    </row>
    <row r="61" spans="1:12" x14ac:dyDescent="0.35">
      <c r="B61" s="34" t="s">
        <v>201</v>
      </c>
      <c r="C61" s="34" t="s">
        <v>202</v>
      </c>
      <c r="D61" s="33" t="s">
        <v>203</v>
      </c>
      <c r="E61" s="82">
        <f>VLOOKUP($D61,Machinery!$B$3:$C$23,2,FALSE)</f>
        <v>150</v>
      </c>
      <c r="F61" s="347">
        <f>(Machinery!$C$106*Diesel!E61)/(Machinery!$C$107*1000)</f>
        <v>38.641686182669787</v>
      </c>
      <c r="G61" s="210">
        <f>VLOOKUP($C61,Machinery!C$55:E$64,3,FALSE)</f>
        <v>1.1000000000000001</v>
      </c>
      <c r="H61" s="347">
        <f t="shared" si="1"/>
        <v>35.128805620608894</v>
      </c>
      <c r="I61" s="212">
        <v>1</v>
      </c>
      <c r="J61" s="348">
        <f t="shared" si="2"/>
        <v>35.128805620608894</v>
      </c>
      <c r="K61" s="85">
        <f>VLOOKUP($C61,Machinery!C$55:D$64,2,FALSE)</f>
        <v>1</v>
      </c>
      <c r="L61" s="348">
        <f t="shared" si="3"/>
        <v>35.128805620608894</v>
      </c>
    </row>
    <row r="62" spans="1:12" x14ac:dyDescent="0.35">
      <c r="B62" s="34" t="s">
        <v>204</v>
      </c>
      <c r="C62" s="34" t="s">
        <v>204</v>
      </c>
      <c r="D62" s="33" t="s">
        <v>205</v>
      </c>
      <c r="E62" s="82">
        <f>VLOOKUP($D62,Machinery!$B$3:$C$23,2,FALSE)</f>
        <v>75</v>
      </c>
      <c r="F62" s="347">
        <f>(Machinery!$C$106*Diesel!E62)/(Machinery!$C$107*1000)</f>
        <v>19.320843091334893</v>
      </c>
      <c r="G62" s="210">
        <f>VLOOKUP($C62,Machinery!C$55:E$64,3,FALSE)</f>
        <v>1.4</v>
      </c>
      <c r="H62" s="347">
        <f t="shared" si="1"/>
        <v>13.800602208096354</v>
      </c>
      <c r="I62" s="212">
        <v>1</v>
      </c>
      <c r="J62" s="348">
        <f t="shared" si="2"/>
        <v>13.800602208096354</v>
      </c>
      <c r="K62" s="85">
        <f>VLOOKUP($C62,Machinery!C$55:D$64,2,FALSE)</f>
        <v>1</v>
      </c>
      <c r="L62" s="348">
        <f t="shared" si="3"/>
        <v>13.800602208096354</v>
      </c>
    </row>
    <row r="63" spans="1:12" x14ac:dyDescent="0.35">
      <c r="B63" s="34" t="s">
        <v>206</v>
      </c>
      <c r="C63" s="34" t="s">
        <v>206</v>
      </c>
      <c r="D63" s="33" t="s">
        <v>207</v>
      </c>
      <c r="E63" s="82">
        <f>VLOOKUP($D63,Machinery!$B$3:$C$23,2,FALSE)</f>
        <v>75</v>
      </c>
      <c r="F63" s="347">
        <f>(Machinery!$C$106*Diesel!E63)/(Machinery!$C$107*1000)</f>
        <v>19.320843091334893</v>
      </c>
      <c r="G63" s="210">
        <f>VLOOKUP($C63,Machinery!C$55:E$64,3,FALSE)</f>
        <v>4.2</v>
      </c>
      <c r="H63" s="347">
        <f t="shared" si="1"/>
        <v>4.6002007360321171</v>
      </c>
      <c r="I63" s="212">
        <v>1</v>
      </c>
      <c r="J63" s="348">
        <f t="shared" si="2"/>
        <v>4.6002007360321171</v>
      </c>
      <c r="K63" s="85">
        <f>VLOOKUP($C63,Machinery!C$55:D$64,2,FALSE)</f>
        <v>2</v>
      </c>
      <c r="L63" s="348">
        <f t="shared" si="3"/>
        <v>9.2004014720642342</v>
      </c>
    </row>
    <row r="64" spans="1:12" x14ac:dyDescent="0.35">
      <c r="A64" s="110"/>
      <c r="B64" s="104"/>
      <c r="C64" s="104"/>
      <c r="D64" s="104"/>
      <c r="E64" s="104"/>
      <c r="F64" s="104"/>
      <c r="G64" s="104"/>
      <c r="H64" s="104"/>
      <c r="I64" s="104"/>
      <c r="J64" s="105" t="s">
        <v>208</v>
      </c>
      <c r="K64" s="104"/>
      <c r="L64" s="349">
        <f>SUM(L54:L62)</f>
        <v>189.94954856310741</v>
      </c>
    </row>
    <row r="65" spans="1:12" x14ac:dyDescent="0.35">
      <c r="A65" s="24" t="s">
        <v>12</v>
      </c>
      <c r="B65" s="34" t="s">
        <v>187</v>
      </c>
      <c r="C65" s="34" t="s">
        <v>209</v>
      </c>
      <c r="D65" s="33" t="s">
        <v>210</v>
      </c>
      <c r="E65" s="82">
        <f>VLOOKUP($D65,Machinery!$B$3:$C$23,2,FALSE)</f>
        <v>75</v>
      </c>
      <c r="F65" s="347">
        <f>(Machinery!$C$106*Diesel!E65)/(Machinery!$C$107*1000)</f>
        <v>19.320843091334893</v>
      </c>
      <c r="G65" s="210">
        <f>VLOOKUP($C65,Machinery!C$65:E$73,3,FALSE)</f>
        <v>2.9</v>
      </c>
      <c r="H65" s="347">
        <f t="shared" ref="H65:H71" si="4">F65/G65</f>
        <v>6.6623596866672052</v>
      </c>
      <c r="I65" s="212">
        <v>1</v>
      </c>
      <c r="J65" s="348">
        <f t="shared" ref="J65:J71" si="5">H65*I65</f>
        <v>6.6623596866672052</v>
      </c>
      <c r="K65" s="85">
        <f>VLOOKUP($C65,Machinery!C$65:D$73,2,FALSE)</f>
        <v>1.3</v>
      </c>
      <c r="L65" s="348">
        <f t="shared" si="3"/>
        <v>8.6610675926673668</v>
      </c>
    </row>
    <row r="66" spans="1:12" x14ac:dyDescent="0.35">
      <c r="B66" s="34"/>
      <c r="C66" s="34" t="s">
        <v>192</v>
      </c>
      <c r="D66" s="33" t="s">
        <v>193</v>
      </c>
      <c r="E66" s="82">
        <f>VLOOKUP($D66,Machinery!$B$3:$C$23,2,FALSE)</f>
        <v>75</v>
      </c>
      <c r="F66" s="347">
        <f>(Machinery!$C$106*Diesel!E66)/(Machinery!$C$107*1000)</f>
        <v>19.320843091334893</v>
      </c>
      <c r="G66" s="210">
        <f>VLOOKUP($C66,Machinery!C$65:E$73,3,FALSE)</f>
        <v>2.8</v>
      </c>
      <c r="H66" s="347">
        <f t="shared" si="4"/>
        <v>6.900301104048177</v>
      </c>
      <c r="I66" s="212">
        <v>1</v>
      </c>
      <c r="J66" s="348">
        <f t="shared" si="5"/>
        <v>6.900301104048177</v>
      </c>
      <c r="K66" s="85">
        <f>VLOOKUP($C66,Machinery!C$65:D$73,2,FALSE)</f>
        <v>1</v>
      </c>
      <c r="L66" s="348">
        <f t="shared" si="3"/>
        <v>6.900301104048177</v>
      </c>
    </row>
    <row r="67" spans="1:12" x14ac:dyDescent="0.35">
      <c r="B67" s="34" t="s">
        <v>196</v>
      </c>
      <c r="C67" s="34" t="s">
        <v>196</v>
      </c>
      <c r="D67" s="33" t="s">
        <v>197</v>
      </c>
      <c r="E67" s="82">
        <f>VLOOKUP($D67,Machinery!$B$3:$C$23,2,FALSE)</f>
        <v>200</v>
      </c>
      <c r="F67" s="347">
        <f>(Machinery!$C$106*Diesel!E67)/(Machinery!$C$107*1000)</f>
        <v>51.522248243559716</v>
      </c>
      <c r="G67" s="210">
        <f>VLOOKUP($C67,Machinery!C$65:E$73,3,FALSE)</f>
        <v>4.0999999999999996</v>
      </c>
      <c r="H67" s="347">
        <f t="shared" si="4"/>
        <v>12.566402010624323</v>
      </c>
      <c r="I67" s="212">
        <v>1</v>
      </c>
      <c r="J67" s="348">
        <f t="shared" si="5"/>
        <v>12.566402010624323</v>
      </c>
      <c r="K67" s="85">
        <f>VLOOKUP($C67,Machinery!C$65:D$73,2,FALSE)</f>
        <v>1</v>
      </c>
      <c r="L67" s="348">
        <f t="shared" si="3"/>
        <v>12.566402010624323</v>
      </c>
    </row>
    <row r="68" spans="1:12" x14ac:dyDescent="0.35">
      <c r="B68" s="34" t="s">
        <v>198</v>
      </c>
      <c r="C68" s="34" t="s">
        <v>198</v>
      </c>
      <c r="D68" s="33" t="s">
        <v>199</v>
      </c>
      <c r="E68" s="82">
        <f>VLOOKUP($D68,Machinery!$B$3:$C$23,2,FALSE)</f>
        <v>179</v>
      </c>
      <c r="F68" s="347">
        <f>(Machinery!$C$106*Diesel!E68)/(Machinery!$C$107*1000)</f>
        <v>46.112412177985945</v>
      </c>
      <c r="G68" s="210">
        <f>VLOOKUP($C68,Machinery!C$65:E$73,3,FALSE)</f>
        <v>7.6</v>
      </c>
      <c r="H68" s="347">
        <f t="shared" si="4"/>
        <v>6.0674226549981514</v>
      </c>
      <c r="I68" s="212">
        <v>1</v>
      </c>
      <c r="J68" s="348">
        <f t="shared" si="5"/>
        <v>6.0674226549981514</v>
      </c>
      <c r="K68" s="85">
        <f>VLOOKUP($C68,Machinery!C$65:D$73,2,FALSE)</f>
        <v>4.8</v>
      </c>
      <c r="L68" s="348">
        <f t="shared" si="3"/>
        <v>29.123628743991127</v>
      </c>
    </row>
    <row r="69" spans="1:12" x14ac:dyDescent="0.35">
      <c r="B69" s="34" t="s">
        <v>200</v>
      </c>
      <c r="C69" s="34" t="s">
        <v>200</v>
      </c>
      <c r="D69" s="33" t="s">
        <v>199</v>
      </c>
      <c r="E69" s="82">
        <f>VLOOKUP($D69,Machinery!$B$3:$C$23,2,FALSE)</f>
        <v>179</v>
      </c>
      <c r="F69" s="347">
        <f>(Machinery!$C$106*Diesel!E69)/(Machinery!$C$107*1000)</f>
        <v>46.112412177985945</v>
      </c>
      <c r="G69" s="210">
        <f>VLOOKUP($C69,Machinery!C$65:E$73,3,FALSE)</f>
        <v>7.6</v>
      </c>
      <c r="H69" s="347">
        <f t="shared" si="4"/>
        <v>6.0674226549981514</v>
      </c>
      <c r="I69" s="212">
        <v>1</v>
      </c>
      <c r="J69" s="348">
        <f t="shared" si="5"/>
        <v>6.0674226549981514</v>
      </c>
      <c r="K69" s="85">
        <f>VLOOKUP($C69,Machinery!C$65:D$73,2,FALSE)</f>
        <v>0.9</v>
      </c>
      <c r="L69" s="348">
        <f t="shared" si="3"/>
        <v>5.4606803894983367</v>
      </c>
    </row>
    <row r="70" spans="1:12" x14ac:dyDescent="0.35">
      <c r="B70" s="34" t="s">
        <v>201</v>
      </c>
      <c r="C70" s="34" t="s">
        <v>211</v>
      </c>
      <c r="D70" s="33" t="s">
        <v>203</v>
      </c>
      <c r="E70" s="82">
        <f>VLOOKUP($D70,Machinery!$B$3:$C$23,2,FALSE)</f>
        <v>150</v>
      </c>
      <c r="F70" s="347">
        <f>(Machinery!$C$106*Diesel!E70)/(Machinery!$C$107*1000)</f>
        <v>38.641686182669787</v>
      </c>
      <c r="G70" s="210">
        <f>VLOOKUP($C70,Machinery!C$65:E$73,3,FALSE)</f>
        <v>1.1000000000000001</v>
      </c>
      <c r="H70" s="347">
        <f t="shared" si="4"/>
        <v>35.128805620608894</v>
      </c>
      <c r="I70" s="212">
        <v>1</v>
      </c>
      <c r="J70" s="348">
        <f t="shared" si="5"/>
        <v>35.128805620608894</v>
      </c>
      <c r="K70" s="85">
        <f>VLOOKUP($C70,Machinery!C$65:D$73,2,FALSE)</f>
        <v>1</v>
      </c>
      <c r="L70" s="348">
        <f t="shared" si="3"/>
        <v>35.128805620608894</v>
      </c>
    </row>
    <row r="71" spans="1:12" x14ac:dyDescent="0.35">
      <c r="B71" s="34" t="s">
        <v>206</v>
      </c>
      <c r="C71" s="34" t="s">
        <v>206</v>
      </c>
      <c r="D71" s="33" t="s">
        <v>207</v>
      </c>
      <c r="E71" s="82">
        <f>VLOOKUP($D71,Machinery!$B$3:$C$23,2,FALSE)</f>
        <v>75</v>
      </c>
      <c r="F71" s="347">
        <f>(Machinery!$C$106*Diesel!E71)/(Machinery!$C$107*1000)</f>
        <v>19.320843091334893</v>
      </c>
      <c r="G71" s="210">
        <f>VLOOKUP($C71,Machinery!C$65:E$73,3,FALSE)</f>
        <v>3.5</v>
      </c>
      <c r="H71" s="347">
        <f t="shared" si="4"/>
        <v>5.5202408832385412</v>
      </c>
      <c r="I71" s="212">
        <v>1</v>
      </c>
      <c r="J71" s="348">
        <f t="shared" si="5"/>
        <v>5.5202408832385412</v>
      </c>
      <c r="K71" s="85">
        <f>VLOOKUP($C71,Machinery!C$65:D$73,2,FALSE)</f>
        <v>1</v>
      </c>
      <c r="L71" s="348">
        <f t="shared" si="3"/>
        <v>5.5202408832385412</v>
      </c>
    </row>
    <row r="72" spans="1:12" x14ac:dyDescent="0.35">
      <c r="A72" s="110"/>
      <c r="B72" s="104"/>
      <c r="C72" s="104"/>
      <c r="D72" s="104"/>
      <c r="E72" s="104"/>
      <c r="F72" s="215"/>
      <c r="G72" s="104"/>
      <c r="H72" s="215"/>
      <c r="I72" s="104"/>
      <c r="J72" s="350" t="s">
        <v>208</v>
      </c>
      <c r="K72" s="104"/>
      <c r="L72" s="349">
        <f>SUM(L65:L70)</f>
        <v>97.840885461438234</v>
      </c>
    </row>
    <row r="73" spans="1:12" x14ac:dyDescent="0.35">
      <c r="A73" s="24" t="s">
        <v>13</v>
      </c>
      <c r="B73" s="34" t="s">
        <v>187</v>
      </c>
      <c r="C73" s="34" t="s">
        <v>188</v>
      </c>
      <c r="D73" s="33" t="s">
        <v>189</v>
      </c>
      <c r="E73" s="82">
        <f>VLOOKUP($D73,Machinery!$B$3:$C$23,2,FALSE)</f>
        <v>142</v>
      </c>
      <c r="F73" s="347">
        <f>(Machinery!$C$106*Diesel!E73)/(Machinery!$C$107*1000)</f>
        <v>36.580796252927399</v>
      </c>
      <c r="G73" s="210">
        <f>VLOOKUP($C73,Machinery!C$74:E$81,3,FALSE)</f>
        <v>1.1000000000000001</v>
      </c>
      <c r="H73" s="347">
        <f t="shared" ref="H73:H80" si="6">F73/G73</f>
        <v>33.255269320843091</v>
      </c>
      <c r="I73" s="212">
        <v>1</v>
      </c>
      <c r="J73" s="348">
        <f t="shared" ref="J73:J80" si="7">H73*I73</f>
        <v>33.255269320843091</v>
      </c>
      <c r="K73" s="85">
        <f>VLOOKUP($C73,Machinery!C$74:D$81,2,FALSE)</f>
        <v>1.3</v>
      </c>
      <c r="L73" s="348">
        <f t="shared" si="3"/>
        <v>43.231850117096023</v>
      </c>
    </row>
    <row r="74" spans="1:12" x14ac:dyDescent="0.35">
      <c r="B74" s="34"/>
      <c r="C74" s="34" t="s">
        <v>209</v>
      </c>
      <c r="D74" s="33" t="s">
        <v>210</v>
      </c>
      <c r="E74" s="82">
        <f>VLOOKUP($D74,Machinery!$B$3:$C$23,2,FALSE)</f>
        <v>75</v>
      </c>
      <c r="F74" s="347">
        <f>(Machinery!$C$106*Diesel!E74)/(Machinery!$C$107*1000)</f>
        <v>19.320843091334893</v>
      </c>
      <c r="G74" s="210">
        <f>VLOOKUP($C74,Machinery!C$74:E$81,3,FALSE)</f>
        <v>2.9</v>
      </c>
      <c r="H74" s="347">
        <f t="shared" si="6"/>
        <v>6.6623596866672052</v>
      </c>
      <c r="I74" s="212">
        <v>1</v>
      </c>
      <c r="J74" s="348">
        <f t="shared" si="7"/>
        <v>6.6623596866672052</v>
      </c>
      <c r="K74" s="85">
        <f>VLOOKUP($C74,Machinery!C$74:D$81,2,FALSE)</f>
        <v>1.5</v>
      </c>
      <c r="L74" s="348">
        <f t="shared" si="3"/>
        <v>9.9935395300008079</v>
      </c>
    </row>
    <row r="75" spans="1:12" x14ac:dyDescent="0.35">
      <c r="B75" s="34"/>
      <c r="C75" s="34" t="s">
        <v>192</v>
      </c>
      <c r="D75" s="33" t="s">
        <v>193</v>
      </c>
      <c r="E75" s="82">
        <f>VLOOKUP($D75,Machinery!$B$3:$C$23,2,FALSE)</f>
        <v>75</v>
      </c>
      <c r="F75" s="347">
        <f>(Machinery!$C$106*Diesel!E75)/(Machinery!$C$107*1000)</f>
        <v>19.320843091334893</v>
      </c>
      <c r="G75" s="210">
        <f>VLOOKUP($C75,Machinery!C$74:E$81,3,FALSE)</f>
        <v>2.8</v>
      </c>
      <c r="H75" s="347">
        <f t="shared" si="6"/>
        <v>6.900301104048177</v>
      </c>
      <c r="I75" s="212">
        <v>1</v>
      </c>
      <c r="J75" s="348">
        <f t="shared" si="7"/>
        <v>6.900301104048177</v>
      </c>
      <c r="K75" s="85">
        <f>VLOOKUP($C75,Machinery!C$74:D$81,2,FALSE)</f>
        <v>1</v>
      </c>
      <c r="L75" s="348">
        <f t="shared" si="3"/>
        <v>6.900301104048177</v>
      </c>
    </row>
    <row r="76" spans="1:12" x14ac:dyDescent="0.35">
      <c r="B76" s="34" t="s">
        <v>196</v>
      </c>
      <c r="C76" s="34" t="s">
        <v>196</v>
      </c>
      <c r="D76" s="33" t="s">
        <v>197</v>
      </c>
      <c r="E76" s="82">
        <f>VLOOKUP($D76,Machinery!$B$3:$C$23,2,FALSE)</f>
        <v>200</v>
      </c>
      <c r="F76" s="347">
        <f>(Machinery!$C$106*Diesel!E76)/(Machinery!$C$107*1000)</f>
        <v>51.522248243559716</v>
      </c>
      <c r="G76" s="210">
        <f>VLOOKUP($C76,Machinery!C$74:E$81,3,FALSE)</f>
        <v>1.3</v>
      </c>
      <c r="H76" s="347">
        <f t="shared" si="6"/>
        <v>39.632498648892089</v>
      </c>
      <c r="I76" s="212">
        <v>1</v>
      </c>
      <c r="J76" s="348">
        <f t="shared" si="7"/>
        <v>39.632498648892089</v>
      </c>
      <c r="K76" s="85">
        <f>VLOOKUP($C76,Machinery!C$74:D$81,2,FALSE)</f>
        <v>1</v>
      </c>
      <c r="L76" s="348">
        <f t="shared" si="3"/>
        <v>39.632498648892089</v>
      </c>
    </row>
    <row r="77" spans="1:12" x14ac:dyDescent="0.35">
      <c r="B77" s="34" t="s">
        <v>198</v>
      </c>
      <c r="C77" s="34" t="s">
        <v>198</v>
      </c>
      <c r="D77" s="33" t="s">
        <v>199</v>
      </c>
      <c r="E77" s="82">
        <f>VLOOKUP($D77,Machinery!$B$3:$C$23,2,FALSE)</f>
        <v>179</v>
      </c>
      <c r="F77" s="347">
        <f>(Machinery!$C$106*Diesel!E77)/(Machinery!$C$107*1000)</f>
        <v>46.112412177985945</v>
      </c>
      <c r="G77" s="210">
        <f>VLOOKUP($C77,Machinery!C$74:E$81,3,FALSE)</f>
        <v>7.6</v>
      </c>
      <c r="H77" s="347">
        <f t="shared" si="6"/>
        <v>6.0674226549981514</v>
      </c>
      <c r="I77" s="212">
        <v>1</v>
      </c>
      <c r="J77" s="348">
        <f t="shared" si="7"/>
        <v>6.0674226549981514</v>
      </c>
      <c r="K77" s="85">
        <f>VLOOKUP($C77,Machinery!C$74:D$81,2,FALSE)</f>
        <v>11.8</v>
      </c>
      <c r="L77" s="348">
        <f t="shared" si="3"/>
        <v>71.595587328978183</v>
      </c>
    </row>
    <row r="78" spans="1:12" x14ac:dyDescent="0.35">
      <c r="B78" s="34" t="s">
        <v>200</v>
      </c>
      <c r="C78" s="34" t="s">
        <v>200</v>
      </c>
      <c r="D78" s="33" t="s">
        <v>199</v>
      </c>
      <c r="E78" s="82">
        <f>VLOOKUP($D78,Machinery!$B$3:$C$23,2,FALSE)</f>
        <v>179</v>
      </c>
      <c r="F78" s="347">
        <f>(Machinery!$C$106*Diesel!E78)/(Machinery!$C$107*1000)</f>
        <v>46.112412177985945</v>
      </c>
      <c r="G78" s="210">
        <f>VLOOKUP($C78,Machinery!C$74:E$81,3,FALSE)</f>
        <v>7.6</v>
      </c>
      <c r="H78" s="347">
        <f t="shared" si="6"/>
        <v>6.0674226549981514</v>
      </c>
      <c r="I78" s="212">
        <v>1</v>
      </c>
      <c r="J78" s="348">
        <f t="shared" si="7"/>
        <v>6.0674226549981514</v>
      </c>
      <c r="K78" s="85">
        <f>VLOOKUP($C78,Machinery!C$74:D$81,2,FALSE)</f>
        <v>0.6</v>
      </c>
      <c r="L78" s="348">
        <f t="shared" si="3"/>
        <v>3.6404535929988908</v>
      </c>
    </row>
    <row r="79" spans="1:12" x14ac:dyDescent="0.35">
      <c r="B79" s="34" t="s">
        <v>201</v>
      </c>
      <c r="C79" s="34" t="s">
        <v>212</v>
      </c>
      <c r="D79" s="33" t="s">
        <v>213</v>
      </c>
      <c r="E79" s="82">
        <f>VLOOKUP($D79,Machinery!$B$3:$C$23,2,FALSE)</f>
        <v>585</v>
      </c>
      <c r="F79" s="347">
        <f>(Machinery!$C$106*Diesel!E79)/(Machinery!$C$107*1000)</f>
        <v>150.70257611241217</v>
      </c>
      <c r="G79" s="210">
        <f>VLOOKUP($C79,Machinery!C$74:E$81,3,FALSE)</f>
        <v>0.5</v>
      </c>
      <c r="H79" s="347">
        <f t="shared" si="6"/>
        <v>301.40515222482435</v>
      </c>
      <c r="I79" s="212">
        <v>1</v>
      </c>
      <c r="J79" s="348">
        <f t="shared" si="7"/>
        <v>301.40515222482435</v>
      </c>
      <c r="K79" s="85">
        <f>VLOOKUP($C79,Machinery!C$74:D$81,2,FALSE)</f>
        <v>1</v>
      </c>
      <c r="L79" s="348">
        <f t="shared" si="3"/>
        <v>301.40515222482435</v>
      </c>
    </row>
    <row r="80" spans="1:12" x14ac:dyDescent="0.35">
      <c r="B80" s="34" t="s">
        <v>206</v>
      </c>
      <c r="C80" s="34" t="s">
        <v>206</v>
      </c>
      <c r="D80" s="33" t="s">
        <v>207</v>
      </c>
      <c r="E80" s="82">
        <f>VLOOKUP($D80,Machinery!$B$3:$C$23,2,FALSE)</f>
        <v>75</v>
      </c>
      <c r="F80" s="347">
        <f>(Machinery!$C$106*Diesel!E80)/(Machinery!$C$107*1000)</f>
        <v>19.320843091334893</v>
      </c>
      <c r="G80" s="210">
        <f>VLOOKUP($C80,Machinery!C$74:E$81,3,FALSE)</f>
        <v>12.9</v>
      </c>
      <c r="H80" s="347">
        <f t="shared" si="6"/>
        <v>1.4977397745220846</v>
      </c>
      <c r="I80" s="212">
        <v>1</v>
      </c>
      <c r="J80" s="348">
        <f t="shared" si="7"/>
        <v>1.4977397745220846</v>
      </c>
      <c r="K80" s="85">
        <f>VLOOKUP($C80,Machinery!C$74:D$81,2,FALSE)</f>
        <v>1</v>
      </c>
      <c r="L80" s="348">
        <f t="shared" si="3"/>
        <v>1.4977397745220846</v>
      </c>
    </row>
    <row r="81" spans="1:12" x14ac:dyDescent="0.35">
      <c r="A81" s="110"/>
      <c r="B81" s="104"/>
      <c r="C81" s="104"/>
      <c r="D81" s="104"/>
      <c r="E81" s="104"/>
      <c r="F81" s="215"/>
      <c r="G81" s="104"/>
      <c r="H81" s="215"/>
      <c r="I81" s="104"/>
      <c r="J81" s="350" t="s">
        <v>208</v>
      </c>
      <c r="K81" s="104"/>
      <c r="L81" s="349">
        <f>SUM(L73:L79)</f>
        <v>476.39938254683852</v>
      </c>
    </row>
    <row r="82" spans="1:12" x14ac:dyDescent="0.35">
      <c r="A82" s="109" t="s">
        <v>14</v>
      </c>
      <c r="B82" s="93" t="s">
        <v>187</v>
      </c>
      <c r="C82" s="93" t="s">
        <v>188</v>
      </c>
      <c r="D82" s="142" t="s">
        <v>189</v>
      </c>
      <c r="E82" s="82">
        <f>VLOOKUP($D82,Machinery!$B$3:$C$23,2,FALSE)</f>
        <v>142</v>
      </c>
      <c r="F82" s="347">
        <f>(Machinery!$C$106*Diesel!E82)/(Machinery!$C$107*1000)</f>
        <v>36.580796252927399</v>
      </c>
      <c r="G82" s="210">
        <f>VLOOKUP($C82,Machinery!C$82:E$90,3,FALSE)</f>
        <v>1.1000000000000001</v>
      </c>
      <c r="H82" s="347">
        <f t="shared" ref="H82:H90" si="8">F82/G82</f>
        <v>33.255269320843091</v>
      </c>
      <c r="I82" s="212">
        <v>1</v>
      </c>
      <c r="J82" s="348">
        <f t="shared" ref="J82:J90" si="9">H82*I82</f>
        <v>33.255269320843091</v>
      </c>
      <c r="K82" s="85">
        <f>VLOOKUP($C82,Machinery!C$82:D$90,2,FALSE)</f>
        <v>1.3</v>
      </c>
      <c r="L82" s="348">
        <f t="shared" si="3"/>
        <v>43.231850117096023</v>
      </c>
    </row>
    <row r="83" spans="1:12" x14ac:dyDescent="0.35">
      <c r="B83" s="34"/>
      <c r="C83" s="34" t="s">
        <v>192</v>
      </c>
      <c r="D83" s="33" t="s">
        <v>193</v>
      </c>
      <c r="E83" s="82">
        <f>VLOOKUP($D83,Machinery!$B$3:$C$23,2,FALSE)</f>
        <v>75</v>
      </c>
      <c r="F83" s="347">
        <f>(Machinery!$C$106*Diesel!E83)/(Machinery!$C$107*1000)</f>
        <v>19.320843091334893</v>
      </c>
      <c r="G83" s="210">
        <f>VLOOKUP($C83,Machinery!C$82:E$90,3,FALSE)</f>
        <v>2.8</v>
      </c>
      <c r="H83" s="347">
        <f t="shared" si="8"/>
        <v>6.900301104048177</v>
      </c>
      <c r="I83" s="212">
        <v>1</v>
      </c>
      <c r="J83" s="348">
        <f t="shared" si="9"/>
        <v>6.900301104048177</v>
      </c>
      <c r="K83" s="85">
        <f>VLOOKUP($C83,Machinery!C$82:D$90,2,FALSE)</f>
        <v>1</v>
      </c>
      <c r="L83" s="348">
        <f t="shared" si="3"/>
        <v>6.900301104048177</v>
      </c>
    </row>
    <row r="84" spans="1:12" x14ac:dyDescent="0.35">
      <c r="B84" s="34" t="s">
        <v>214</v>
      </c>
      <c r="C84" s="34" t="s">
        <v>209</v>
      </c>
      <c r="D84" s="33" t="s">
        <v>210</v>
      </c>
      <c r="E84" s="82">
        <f>VLOOKUP($D84,Machinery!$B$3:$C$23,2,FALSE)</f>
        <v>75</v>
      </c>
      <c r="F84" s="347">
        <f>(Machinery!$C$106*Diesel!E84)/(Machinery!$C$107*1000)</f>
        <v>19.320843091334893</v>
      </c>
      <c r="G84" s="210">
        <f>VLOOKUP($C84,Machinery!C$82:E$90,3,FALSE)</f>
        <v>2.9</v>
      </c>
      <c r="H84" s="347">
        <f t="shared" si="8"/>
        <v>6.6623596866672052</v>
      </c>
      <c r="I84" s="212">
        <v>1</v>
      </c>
      <c r="J84" s="348">
        <f t="shared" si="9"/>
        <v>6.6623596866672052</v>
      </c>
      <c r="K84" s="85">
        <f>VLOOKUP($C84,Machinery!C$82:D$90,2,FALSE)</f>
        <v>1.2</v>
      </c>
      <c r="L84" s="348">
        <f t="shared" si="3"/>
        <v>7.9948316240006463</v>
      </c>
    </row>
    <row r="85" spans="1:12" x14ac:dyDescent="0.35">
      <c r="B85" s="34"/>
      <c r="C85" s="34" t="s">
        <v>190</v>
      </c>
      <c r="D85" s="33" t="s">
        <v>191</v>
      </c>
      <c r="E85" s="82">
        <f>VLOOKUP($D85,Machinery!$B$3:$C$23,2,FALSE)</f>
        <v>167</v>
      </c>
      <c r="F85" s="347">
        <f>(Machinery!$C$106*Diesel!E85)/(Machinery!$C$107*1000)</f>
        <v>43.021077283372364</v>
      </c>
      <c r="G85" s="210">
        <f>VLOOKUP($C85,Machinery!C$82:E$90,3,FALSE)</f>
        <v>2</v>
      </c>
      <c r="H85" s="347">
        <f t="shared" si="8"/>
        <v>21.510538641686182</v>
      </c>
      <c r="I85" s="212">
        <v>1</v>
      </c>
      <c r="J85" s="348">
        <f t="shared" si="9"/>
        <v>21.510538641686182</v>
      </c>
      <c r="K85" s="85">
        <f>VLOOKUP($C85,Machinery!C$82:D$90,2,FALSE)</f>
        <v>0.9</v>
      </c>
      <c r="L85" s="348">
        <f t="shared" si="3"/>
        <v>19.359484777517565</v>
      </c>
    </row>
    <row r="86" spans="1:12" x14ac:dyDescent="0.35">
      <c r="B86" s="34"/>
      <c r="C86" s="34" t="s">
        <v>196</v>
      </c>
      <c r="D86" s="33" t="s">
        <v>197</v>
      </c>
      <c r="E86" s="82">
        <f>VLOOKUP($D86,Machinery!$B$3:$C$23,2,FALSE)</f>
        <v>200</v>
      </c>
      <c r="F86" s="347">
        <f>(Machinery!$C$106*Diesel!E86)/(Machinery!$C$107*1000)</f>
        <v>51.522248243559716</v>
      </c>
      <c r="G86" s="210">
        <f>VLOOKUP($C86,Machinery!C$82:E$90,3,FALSE)</f>
        <v>4.0999999999999996</v>
      </c>
      <c r="H86" s="347">
        <f t="shared" si="8"/>
        <v>12.566402010624323</v>
      </c>
      <c r="I86" s="212">
        <v>1</v>
      </c>
      <c r="J86" s="348">
        <f t="shared" si="9"/>
        <v>12.566402010624323</v>
      </c>
      <c r="K86" s="85">
        <f>VLOOKUP($C86,Machinery!C$82:D$90,2,FALSE)</f>
        <v>1</v>
      </c>
      <c r="L86" s="348">
        <f t="shared" si="3"/>
        <v>12.566402010624323</v>
      </c>
    </row>
    <row r="87" spans="1:12" x14ac:dyDescent="0.35">
      <c r="B87" s="34" t="s">
        <v>198</v>
      </c>
      <c r="C87" s="34" t="s">
        <v>198</v>
      </c>
      <c r="D87" s="33" t="s">
        <v>199</v>
      </c>
      <c r="E87" s="82">
        <f>VLOOKUP($D87,Machinery!$B$3:$C$23,2,FALSE)</f>
        <v>179</v>
      </c>
      <c r="F87" s="347">
        <f>(Machinery!$C$106*Diesel!E87)/(Machinery!$C$107*1000)</f>
        <v>46.112412177985945</v>
      </c>
      <c r="G87" s="210">
        <f>VLOOKUP($C87,Machinery!C$82:E$90,3,FALSE)</f>
        <v>7.6</v>
      </c>
      <c r="H87" s="347">
        <f t="shared" si="8"/>
        <v>6.0674226549981514</v>
      </c>
      <c r="I87" s="212">
        <v>1</v>
      </c>
      <c r="J87" s="348">
        <f t="shared" si="9"/>
        <v>6.0674226549981514</v>
      </c>
      <c r="K87" s="85">
        <f>VLOOKUP($C87,Machinery!C$82:D$90,2,FALSE)</f>
        <v>7</v>
      </c>
      <c r="L87" s="348">
        <f t="shared" si="3"/>
        <v>42.471958584987057</v>
      </c>
    </row>
    <row r="88" spans="1:12" x14ac:dyDescent="0.35">
      <c r="B88" s="34" t="s">
        <v>200</v>
      </c>
      <c r="C88" s="34" t="s">
        <v>200</v>
      </c>
      <c r="D88" s="33" t="s">
        <v>199</v>
      </c>
      <c r="E88" s="82">
        <f>VLOOKUP($D88,Machinery!$B$3:$C$23,2,FALSE)</f>
        <v>179</v>
      </c>
      <c r="F88" s="347">
        <f>(Machinery!$C$106*Diesel!E88)/(Machinery!$C$107*1000)</f>
        <v>46.112412177985945</v>
      </c>
      <c r="G88" s="210">
        <f>VLOOKUP($C88,Machinery!C$82:E$90,3,FALSE)</f>
        <v>7.6</v>
      </c>
      <c r="H88" s="347">
        <f t="shared" si="8"/>
        <v>6.0674226549981514</v>
      </c>
      <c r="I88" s="212">
        <v>1</v>
      </c>
      <c r="J88" s="348">
        <f t="shared" si="9"/>
        <v>6.0674226549981514</v>
      </c>
      <c r="K88" s="85">
        <f>VLOOKUP($C88,Machinery!C$82:D$90,2,FALSE)</f>
        <v>0.3</v>
      </c>
      <c r="L88" s="348">
        <f t="shared" si="3"/>
        <v>1.8202267964994454</v>
      </c>
    </row>
    <row r="89" spans="1:12" x14ac:dyDescent="0.35">
      <c r="B89" s="34" t="s">
        <v>201</v>
      </c>
      <c r="C89" s="34" t="s">
        <v>215</v>
      </c>
      <c r="D89" s="33" t="s">
        <v>216</v>
      </c>
      <c r="E89" s="82">
        <f>VLOOKUP($D89,Machinery!$B$3:$C$23,2,FALSE)</f>
        <v>370</v>
      </c>
      <c r="F89" s="347">
        <f>(Machinery!$C$106*Diesel!E89)/(Machinery!$C$107*1000)</f>
        <v>95.316159250585486</v>
      </c>
      <c r="G89" s="210">
        <f>VLOOKUP($C89,Machinery!C$82:E$90,3,FALSE)</f>
        <v>1.7</v>
      </c>
      <c r="H89" s="347">
        <f t="shared" si="8"/>
        <v>56.06832897093264</v>
      </c>
      <c r="I89" s="212">
        <v>1</v>
      </c>
      <c r="J89" s="348">
        <f t="shared" si="9"/>
        <v>56.06832897093264</v>
      </c>
      <c r="K89" s="85">
        <f>VLOOKUP($C89,Machinery!C$82:D$90,2,FALSE)</f>
        <v>1</v>
      </c>
      <c r="L89" s="348">
        <f t="shared" si="3"/>
        <v>56.06832897093264</v>
      </c>
    </row>
    <row r="90" spans="1:12" x14ac:dyDescent="0.35">
      <c r="B90" s="34" t="s">
        <v>206</v>
      </c>
      <c r="C90" s="34" t="s">
        <v>206</v>
      </c>
      <c r="D90" s="33" t="s">
        <v>207</v>
      </c>
      <c r="E90" s="82">
        <f>VLOOKUP($D90,Machinery!$B$3:$C$23,2,FALSE)</f>
        <v>75</v>
      </c>
      <c r="F90" s="347">
        <f>(Machinery!$C$106*Diesel!E90)/(Machinery!$C$107*1000)</f>
        <v>19.320843091334893</v>
      </c>
      <c r="G90" s="210">
        <f>VLOOKUP($C90,Machinery!C$82:E$90,3,FALSE)</f>
        <v>10.199999999999999</v>
      </c>
      <c r="H90" s="347">
        <f t="shared" si="8"/>
        <v>1.8942003030720485</v>
      </c>
      <c r="I90" s="212">
        <v>1</v>
      </c>
      <c r="J90" s="348">
        <f t="shared" si="9"/>
        <v>1.8942003030720485</v>
      </c>
      <c r="K90" s="85">
        <f>VLOOKUP($C90,Machinery!C$82:D$90,2,FALSE)</f>
        <v>2</v>
      </c>
      <c r="L90" s="348">
        <f t="shared" si="3"/>
        <v>3.7884006061440969</v>
      </c>
    </row>
    <row r="91" spans="1:12" x14ac:dyDescent="0.35">
      <c r="A91" s="110"/>
      <c r="B91" s="104"/>
      <c r="C91" s="104"/>
      <c r="D91" s="104"/>
      <c r="E91" s="104"/>
      <c r="F91" s="215"/>
      <c r="G91" s="104"/>
      <c r="H91" s="215"/>
      <c r="I91" s="104"/>
      <c r="J91" s="350" t="s">
        <v>208</v>
      </c>
      <c r="K91" s="214"/>
      <c r="L91" s="349">
        <f>SUM(L82:L89)</f>
        <v>190.41338398570588</v>
      </c>
    </row>
    <row r="92" spans="1:12" x14ac:dyDescent="0.35">
      <c r="A92" s="24" t="s">
        <v>217</v>
      </c>
      <c r="B92" s="34" t="s">
        <v>198</v>
      </c>
      <c r="C92" s="34" t="s">
        <v>198</v>
      </c>
      <c r="D92" s="33" t="s">
        <v>199</v>
      </c>
      <c r="E92" s="82">
        <f>VLOOKUP($D92,Machinery!$B$3:$C$23,2,FALSE)</f>
        <v>179</v>
      </c>
      <c r="F92" s="347">
        <f>(Machinery!$C$106*Diesel!E92)/(Machinery!$C$107*1000)</f>
        <v>46.112412177985945</v>
      </c>
      <c r="G92" s="210">
        <f>VLOOKUP($C92,Machinery!C$91:E$102,3,FALSE)</f>
        <v>7.6</v>
      </c>
      <c r="H92" s="347">
        <f t="shared" ref="H92:H99" si="10">F92/G92</f>
        <v>6.0674226549981514</v>
      </c>
      <c r="I92" s="212">
        <v>1</v>
      </c>
      <c r="J92" s="348">
        <f t="shared" ref="J92:J99" si="11">H92*I92</f>
        <v>6.0674226549981514</v>
      </c>
      <c r="K92" s="85">
        <f>VLOOKUP($C92,Machinery!C$91:D$102,2,FALSE)</f>
        <v>5.2</v>
      </c>
      <c r="L92" s="348">
        <f t="shared" si="3"/>
        <v>31.550597805990389</v>
      </c>
    </row>
    <row r="93" spans="1:12" x14ac:dyDescent="0.35">
      <c r="B93" s="34" t="s">
        <v>187</v>
      </c>
      <c r="C93" s="34" t="s">
        <v>188</v>
      </c>
      <c r="D93" s="33" t="s">
        <v>189</v>
      </c>
      <c r="E93" s="82">
        <f>VLOOKUP($D93,Machinery!$B$3:$C$23,2,FALSE)</f>
        <v>142</v>
      </c>
      <c r="F93" s="347">
        <f>(Machinery!$C$106*Diesel!E93)/(Machinery!$C$107*1000)</f>
        <v>36.580796252927399</v>
      </c>
      <c r="G93" s="210">
        <f>VLOOKUP($C93,Machinery!C$91:E$102,3,FALSE)</f>
        <v>1.1000000000000001</v>
      </c>
      <c r="H93" s="347">
        <f t="shared" si="10"/>
        <v>33.255269320843091</v>
      </c>
      <c r="I93" s="212">
        <v>1</v>
      </c>
      <c r="J93" s="348">
        <f t="shared" si="11"/>
        <v>33.255269320843091</v>
      </c>
      <c r="K93" s="85">
        <f>VLOOKUP($C93,Machinery!C$91:D$102,2,FALSE)</f>
        <v>1.3</v>
      </c>
      <c r="L93" s="348">
        <f t="shared" si="3"/>
        <v>43.231850117096023</v>
      </c>
    </row>
    <row r="94" spans="1:12" x14ac:dyDescent="0.35">
      <c r="B94" s="34"/>
      <c r="C94" s="34" t="s">
        <v>218</v>
      </c>
      <c r="D94" s="33" t="s">
        <v>219</v>
      </c>
      <c r="E94" s="82">
        <f>VLOOKUP($D94,Machinery!$B$3:$C$23,2,FALSE)</f>
        <v>200</v>
      </c>
      <c r="F94" s="347">
        <f>(Machinery!$C$106*Diesel!E94)/(Machinery!$C$107*1000)</f>
        <v>51.522248243559716</v>
      </c>
      <c r="G94" s="210">
        <f>VLOOKUP($C94,Machinery!C$91:E$102,3,FALSE)</f>
        <v>2.4</v>
      </c>
      <c r="H94" s="347">
        <f t="shared" si="10"/>
        <v>21.467603434816549</v>
      </c>
      <c r="I94" s="212">
        <v>1</v>
      </c>
      <c r="J94" s="348">
        <f t="shared" si="11"/>
        <v>21.467603434816549</v>
      </c>
      <c r="K94" s="85">
        <f>VLOOKUP($C94,Machinery!C$91:D$102,2,FALSE)</f>
        <v>0.2</v>
      </c>
      <c r="L94" s="348">
        <f t="shared" si="3"/>
        <v>4.2935206869633102</v>
      </c>
    </row>
    <row r="95" spans="1:12" x14ac:dyDescent="0.35">
      <c r="B95" s="34"/>
      <c r="C95" s="34" t="s">
        <v>190</v>
      </c>
      <c r="D95" s="33" t="s">
        <v>191</v>
      </c>
      <c r="E95" s="82">
        <f>VLOOKUP($D95,Machinery!$B$3:$C$23,2,FALSE)</f>
        <v>167</v>
      </c>
      <c r="F95" s="347">
        <f>(Machinery!$C$106*Diesel!E95)/(Machinery!$C$107*1000)</f>
        <v>43.021077283372364</v>
      </c>
      <c r="G95" s="210">
        <f>VLOOKUP($C95,Machinery!C$91:E$102,3,FALSE)</f>
        <v>2</v>
      </c>
      <c r="H95" s="347">
        <f t="shared" si="10"/>
        <v>21.510538641686182</v>
      </c>
      <c r="I95" s="212">
        <v>1</v>
      </c>
      <c r="J95" s="348">
        <f t="shared" si="11"/>
        <v>21.510538641686182</v>
      </c>
      <c r="K95" s="85">
        <f>VLOOKUP($C95,Machinery!C$91:D$102,2,FALSE)</f>
        <v>0.9</v>
      </c>
      <c r="L95" s="348">
        <f t="shared" si="3"/>
        <v>19.359484777517565</v>
      </c>
    </row>
    <row r="96" spans="1:12" x14ac:dyDescent="0.35">
      <c r="B96" s="34"/>
      <c r="C96" s="34" t="s">
        <v>192</v>
      </c>
      <c r="D96" s="33" t="s">
        <v>193</v>
      </c>
      <c r="E96" s="82">
        <f>VLOOKUP($D96,Machinery!$B$3:$C$23,2,FALSE)</f>
        <v>75</v>
      </c>
      <c r="F96" s="347">
        <f>(Machinery!$C$106*Diesel!E96)/(Machinery!$C$107*1000)</f>
        <v>19.320843091334893</v>
      </c>
      <c r="G96" s="210">
        <f>VLOOKUP($C96,Machinery!C$91:E$102,3,FALSE)</f>
        <v>2.8</v>
      </c>
      <c r="H96" s="347">
        <f t="shared" si="10"/>
        <v>6.900301104048177</v>
      </c>
      <c r="I96" s="212">
        <v>1</v>
      </c>
      <c r="J96" s="348">
        <f t="shared" si="11"/>
        <v>6.900301104048177</v>
      </c>
      <c r="K96" s="85">
        <f>VLOOKUP($C96,Machinery!C$91:D$102,2,FALSE)</f>
        <v>1</v>
      </c>
      <c r="L96" s="348">
        <f t="shared" si="3"/>
        <v>6.900301104048177</v>
      </c>
    </row>
    <row r="97" spans="1:12" x14ac:dyDescent="0.35">
      <c r="B97" s="34" t="s">
        <v>220</v>
      </c>
      <c r="C97" s="34" t="s">
        <v>221</v>
      </c>
      <c r="D97" s="33" t="s">
        <v>222</v>
      </c>
      <c r="E97" s="82">
        <f>VLOOKUP($D97,Machinery!$B$3:$C$23,2,FALSE)</f>
        <v>200</v>
      </c>
      <c r="F97" s="347">
        <f>(Machinery!$C$106*Diesel!E97)/(Machinery!$C$107*1000)</f>
        <v>51.522248243559716</v>
      </c>
      <c r="G97" s="210">
        <f>VLOOKUP($C97,Machinery!C$91:E$102,3,FALSE)</f>
        <v>1.3</v>
      </c>
      <c r="H97" s="347">
        <f t="shared" si="10"/>
        <v>39.632498648892089</v>
      </c>
      <c r="I97" s="212">
        <v>1</v>
      </c>
      <c r="J97" s="348">
        <f t="shared" si="11"/>
        <v>39.632498648892089</v>
      </c>
      <c r="K97" s="85">
        <f>VLOOKUP($C97,Machinery!C$91:D$102,2,FALSE)</f>
        <v>1</v>
      </c>
      <c r="L97" s="348">
        <f t="shared" si="3"/>
        <v>39.632498648892089</v>
      </c>
    </row>
    <row r="98" spans="1:12" x14ac:dyDescent="0.35">
      <c r="B98" s="34" t="s">
        <v>200</v>
      </c>
      <c r="C98" s="34" t="s">
        <v>200</v>
      </c>
      <c r="D98" s="33" t="s">
        <v>199</v>
      </c>
      <c r="E98" s="82">
        <f>VLOOKUP($D98,Machinery!$B$3:$C$23,2,FALSE)</f>
        <v>179</v>
      </c>
      <c r="F98" s="347">
        <f>(Machinery!$C$106*Diesel!E98)/(Machinery!$C$107*1000)</f>
        <v>46.112412177985945</v>
      </c>
      <c r="G98" s="210">
        <f>VLOOKUP($C98,Machinery!C$91:E$102,3,FALSE)</f>
        <v>7.6</v>
      </c>
      <c r="H98" s="347">
        <f t="shared" si="10"/>
        <v>6.0674226549981514</v>
      </c>
      <c r="I98" s="212">
        <v>1</v>
      </c>
      <c r="J98" s="348">
        <f t="shared" si="11"/>
        <v>6.0674226549981514</v>
      </c>
      <c r="K98" s="85">
        <f>VLOOKUP($C98,Machinery!C$91:D$102,2,FALSE)</f>
        <v>0.3</v>
      </c>
      <c r="L98" s="348">
        <f t="shared" si="3"/>
        <v>1.8202267964994454</v>
      </c>
    </row>
    <row r="99" spans="1:12" x14ac:dyDescent="0.35">
      <c r="B99" s="34" t="s">
        <v>223</v>
      </c>
      <c r="C99" s="34" t="s">
        <v>223</v>
      </c>
      <c r="D99" s="33" t="s">
        <v>224</v>
      </c>
      <c r="E99" s="82">
        <f>VLOOKUP($D99,Machinery!$B$3:$C$23,2,FALSE)</f>
        <v>69</v>
      </c>
      <c r="F99" s="347">
        <f>(Machinery!$C$106*Diesel!E99)/(Machinery!$C$107*1000)</f>
        <v>17.775175644028103</v>
      </c>
      <c r="G99" s="210">
        <f>VLOOKUP($C99,Machinery!C$91:E$102,3,FALSE)</f>
        <v>1.1000000000000001</v>
      </c>
      <c r="H99" s="347">
        <f t="shared" si="10"/>
        <v>16.159250585480091</v>
      </c>
      <c r="I99" s="212">
        <v>1</v>
      </c>
      <c r="J99" s="348">
        <f t="shared" si="11"/>
        <v>16.159250585480091</v>
      </c>
      <c r="K99" s="85">
        <f>VLOOKUP($C99,Machinery!C$91:D$102,2,FALSE)</f>
        <v>1</v>
      </c>
      <c r="L99" s="348">
        <f t="shared" si="3"/>
        <v>16.159250585480091</v>
      </c>
    </row>
    <row r="100" spans="1:12" x14ac:dyDescent="0.35">
      <c r="A100" s="110"/>
      <c r="B100" s="104"/>
      <c r="C100" s="104"/>
      <c r="D100" s="104"/>
      <c r="E100" s="104"/>
      <c r="F100" s="215"/>
      <c r="G100" s="104"/>
      <c r="H100" s="215"/>
      <c r="I100" s="104"/>
      <c r="J100" s="350" t="s">
        <v>208</v>
      </c>
      <c r="K100" s="104"/>
      <c r="L100" s="349">
        <f>SUM(L92:L99)</f>
        <v>162.94773052248709</v>
      </c>
    </row>
    <row r="101" spans="1:12" x14ac:dyDescent="0.35">
      <c r="A101" s="24" t="s">
        <v>225</v>
      </c>
      <c r="B101" s="34" t="s">
        <v>198</v>
      </c>
      <c r="C101" s="34" t="s">
        <v>198</v>
      </c>
      <c r="D101" s="33" t="s">
        <v>199</v>
      </c>
      <c r="E101" s="82">
        <f>VLOOKUP($D101,Machinery!$B$3:$C$23,2,FALSE)</f>
        <v>179</v>
      </c>
      <c r="F101" s="347">
        <f>(Machinery!$C$106*Diesel!E101)/(Machinery!$C$107*1000)</f>
        <v>46.112412177985945</v>
      </c>
      <c r="G101" s="210">
        <f>VLOOKUP($C101,Machinery!C$91:E$102,3,FALSE)</f>
        <v>7.6</v>
      </c>
      <c r="H101" s="347">
        <f t="shared" ref="H101" si="12">F101/G101</f>
        <v>6.0674226549981514</v>
      </c>
      <c r="I101" s="212">
        <v>1</v>
      </c>
      <c r="J101" s="348">
        <f t="shared" ref="J101" si="13">H101*I101</f>
        <v>6.0674226549981514</v>
      </c>
      <c r="K101" s="85">
        <f>VLOOKUP($C101,Machinery!C$91:D$102,2,FALSE)</f>
        <v>5.2</v>
      </c>
      <c r="L101" s="348">
        <f t="shared" si="3"/>
        <v>31.550597805990389</v>
      </c>
    </row>
    <row r="102" spans="1:12" x14ac:dyDescent="0.35">
      <c r="A102" s="110"/>
      <c r="B102" s="104"/>
      <c r="C102" s="104"/>
      <c r="D102" s="104"/>
      <c r="E102" s="104"/>
      <c r="F102" s="215"/>
      <c r="G102" s="104"/>
      <c r="H102" s="215"/>
      <c r="I102" s="104"/>
      <c r="J102" s="350" t="s">
        <v>208</v>
      </c>
      <c r="K102" s="104"/>
      <c r="L102" s="349">
        <f>SUM(L101:L101)</f>
        <v>31.550597805990389</v>
      </c>
    </row>
    <row r="103" spans="1:12" x14ac:dyDescent="0.35">
      <c r="A103" s="24" t="s">
        <v>226</v>
      </c>
      <c r="B103" s="34" t="s">
        <v>198</v>
      </c>
      <c r="C103" s="34" t="s">
        <v>198</v>
      </c>
      <c r="D103" s="33" t="s">
        <v>199</v>
      </c>
      <c r="E103" s="82">
        <f>VLOOKUP($D103,Machinery!$B$3:$C$23,2,FALSE)</f>
        <v>179</v>
      </c>
      <c r="F103" s="347">
        <f>(Machinery!$C$106*Diesel!E103)/(Machinery!$C$107*1000)</f>
        <v>46.112412177985945</v>
      </c>
      <c r="G103" s="210">
        <f>VLOOKUP($C103,Machinery!C$91:E$102,3,FALSE)</f>
        <v>7.6</v>
      </c>
      <c r="H103" s="347">
        <f t="shared" ref="H103:H106" si="14">F103/G103</f>
        <v>6.0674226549981514</v>
      </c>
      <c r="I103" s="212">
        <v>1</v>
      </c>
      <c r="J103" s="348">
        <f t="shared" ref="J103:J106" si="15">H103*I103</f>
        <v>6.0674226549981514</v>
      </c>
      <c r="K103" s="85">
        <f>VLOOKUP($C103,Machinery!C$91:D$102,2,FALSE)</f>
        <v>5.2</v>
      </c>
      <c r="L103" s="348">
        <f t="shared" ref="L103:L149" si="16">J103*K103</f>
        <v>31.550597805990389</v>
      </c>
    </row>
    <row r="104" spans="1:12" x14ac:dyDescent="0.35">
      <c r="B104" s="34" t="s">
        <v>200</v>
      </c>
      <c r="C104" s="34" t="s">
        <v>200</v>
      </c>
      <c r="D104" s="33" t="s">
        <v>199</v>
      </c>
      <c r="E104" s="82">
        <f>VLOOKUP($D104,Machinery!$B$3:$C$23,2,FALSE)</f>
        <v>179</v>
      </c>
      <c r="F104" s="347">
        <f>(Machinery!$C$106*Diesel!E104)/(Machinery!$C$107*1000)</f>
        <v>46.112412177985945</v>
      </c>
      <c r="G104" s="210">
        <f>VLOOKUP($C104,Machinery!C$91:E$102,3,FALSE)</f>
        <v>7.6</v>
      </c>
      <c r="H104" s="347">
        <f t="shared" si="14"/>
        <v>6.0674226549981514</v>
      </c>
      <c r="I104" s="212">
        <v>1</v>
      </c>
      <c r="J104" s="348">
        <f t="shared" si="15"/>
        <v>6.0674226549981514</v>
      </c>
      <c r="K104" s="85">
        <f>VLOOKUP($C104,Machinery!C$91:D$102,2,FALSE)</f>
        <v>0.3</v>
      </c>
      <c r="L104" s="348">
        <f t="shared" si="16"/>
        <v>1.8202267964994454</v>
      </c>
    </row>
    <row r="105" spans="1:12" x14ac:dyDescent="0.35">
      <c r="B105" s="34" t="s">
        <v>201</v>
      </c>
      <c r="C105" s="34" t="s">
        <v>215</v>
      </c>
      <c r="D105" s="33" t="s">
        <v>216</v>
      </c>
      <c r="E105" s="82">
        <f>VLOOKUP($D105,Machinery!$B$3:$C$23,2,FALSE)</f>
        <v>370</v>
      </c>
      <c r="F105" s="347">
        <f>(Machinery!$C$106*Diesel!E105)/(Machinery!$C$107*1000)</f>
        <v>95.316159250585486</v>
      </c>
      <c r="G105" s="210">
        <f>VLOOKUP($C105,Machinery!C$91:E$102,3,FALSE)</f>
        <v>1.7</v>
      </c>
      <c r="H105" s="347">
        <f t="shared" si="14"/>
        <v>56.06832897093264</v>
      </c>
      <c r="I105" s="212">
        <v>1</v>
      </c>
      <c r="J105" s="348">
        <f t="shared" si="15"/>
        <v>56.06832897093264</v>
      </c>
      <c r="K105" s="85">
        <f>VLOOKUP($C105,Machinery!C$91:D$102,2,FALSE)</f>
        <v>1</v>
      </c>
      <c r="L105" s="348">
        <f t="shared" si="16"/>
        <v>56.06832897093264</v>
      </c>
    </row>
    <row r="106" spans="1:12" x14ac:dyDescent="0.35">
      <c r="B106" s="34" t="s">
        <v>206</v>
      </c>
      <c r="C106" s="34" t="s">
        <v>206</v>
      </c>
      <c r="D106" s="33" t="s">
        <v>207</v>
      </c>
      <c r="E106" s="82">
        <f>VLOOKUP($D106,Machinery!$B$3:$C$23,2,FALSE)</f>
        <v>75</v>
      </c>
      <c r="F106" s="347">
        <f>(Machinery!$C$106*Diesel!E106)/(Machinery!$C$107*1000)</f>
        <v>19.320843091334893</v>
      </c>
      <c r="G106" s="210">
        <f>VLOOKUP($C106,Machinery!C$91:E$102,3,FALSE)</f>
        <v>10.199999999999999</v>
      </c>
      <c r="H106" s="347">
        <f t="shared" si="14"/>
        <v>1.8942003030720485</v>
      </c>
      <c r="I106" s="212">
        <v>1</v>
      </c>
      <c r="J106" s="348">
        <f t="shared" si="15"/>
        <v>1.8942003030720485</v>
      </c>
      <c r="K106" s="85">
        <f>VLOOKUP($C106,Machinery!C$91:D$102,2,FALSE)</f>
        <v>2</v>
      </c>
      <c r="L106" s="348">
        <f t="shared" si="16"/>
        <v>3.7884006061440969</v>
      </c>
    </row>
    <row r="107" spans="1:12" x14ac:dyDescent="0.35">
      <c r="A107" s="110"/>
      <c r="B107" s="104"/>
      <c r="C107" s="104"/>
      <c r="D107" s="104"/>
      <c r="E107" s="104"/>
      <c r="F107" s="215"/>
      <c r="G107" s="104"/>
      <c r="H107" s="215"/>
      <c r="I107" s="104"/>
      <c r="J107" s="350" t="s">
        <v>208</v>
      </c>
      <c r="K107" s="104"/>
      <c r="L107" s="349">
        <f>SUM(L103:L105)</f>
        <v>89.439153573422473</v>
      </c>
    </row>
    <row r="108" spans="1:12" x14ac:dyDescent="0.35">
      <c r="A108" s="24" t="s">
        <v>227</v>
      </c>
      <c r="B108" s="34" t="s">
        <v>198</v>
      </c>
      <c r="C108" s="34" t="s">
        <v>198</v>
      </c>
      <c r="D108" s="33" t="s">
        <v>199</v>
      </c>
      <c r="E108" s="82">
        <f>VLOOKUP($D108,Machinery!$B$3:$C$23,2,FALSE)</f>
        <v>179</v>
      </c>
      <c r="F108" s="347">
        <f>(Machinery!$C$106*Diesel!E108)/(Machinery!$C$107*1000)</f>
        <v>46.112412177985945</v>
      </c>
      <c r="G108" s="210">
        <f>VLOOKUP($C108,Machinery!C$91:E$102,3,FALSE)</f>
        <v>7.6</v>
      </c>
      <c r="H108" s="347">
        <f t="shared" ref="H108:H115" si="17">F108/G108</f>
        <v>6.0674226549981514</v>
      </c>
      <c r="I108" s="212">
        <v>1</v>
      </c>
      <c r="J108" s="348">
        <f t="shared" ref="J108:J115" si="18">H108*I108</f>
        <v>6.0674226549981514</v>
      </c>
      <c r="K108" s="85">
        <f>VLOOKUP($C108,Machinery!C$91:D$102,2,FALSE)</f>
        <v>5.2</v>
      </c>
      <c r="L108" s="348">
        <f t="shared" si="16"/>
        <v>31.550597805990389</v>
      </c>
    </row>
    <row r="109" spans="1:12" x14ac:dyDescent="0.35">
      <c r="B109" s="34" t="s">
        <v>187</v>
      </c>
      <c r="C109" s="34" t="s">
        <v>188</v>
      </c>
      <c r="D109" s="33" t="s">
        <v>189</v>
      </c>
      <c r="E109" s="82">
        <f>VLOOKUP($D109,Machinery!$B$3:$C$23,2,FALSE)</f>
        <v>142</v>
      </c>
      <c r="F109" s="347">
        <f>(Machinery!$C$106*Diesel!E109)/(Machinery!$C$107*1000)</f>
        <v>36.580796252927399</v>
      </c>
      <c r="G109" s="210">
        <f>VLOOKUP($C109,Machinery!C$91:E$102,3,FALSE)</f>
        <v>1.1000000000000001</v>
      </c>
      <c r="H109" s="347">
        <f t="shared" si="17"/>
        <v>33.255269320843091</v>
      </c>
      <c r="I109" s="212">
        <v>1</v>
      </c>
      <c r="J109" s="348">
        <f t="shared" si="18"/>
        <v>33.255269320843091</v>
      </c>
      <c r="K109" s="85">
        <f>VLOOKUP($C109,Machinery!C$91:D$102,2,FALSE)</f>
        <v>1.3</v>
      </c>
      <c r="L109" s="348">
        <f t="shared" si="16"/>
        <v>43.231850117096023</v>
      </c>
    </row>
    <row r="110" spans="1:12" x14ac:dyDescent="0.35">
      <c r="B110" s="34"/>
      <c r="C110" s="34" t="s">
        <v>218</v>
      </c>
      <c r="D110" s="33" t="s">
        <v>219</v>
      </c>
      <c r="E110" s="82">
        <f>VLOOKUP($D110,Machinery!$B$3:$C$23,2,FALSE)</f>
        <v>200</v>
      </c>
      <c r="F110" s="347">
        <f>(Machinery!$C$106*Diesel!E110)/(Machinery!$C$107*1000)</f>
        <v>51.522248243559716</v>
      </c>
      <c r="G110" s="210">
        <f>VLOOKUP($C110,Machinery!C$91:E$102,3,FALSE)</f>
        <v>2.4</v>
      </c>
      <c r="H110" s="347">
        <f t="shared" si="17"/>
        <v>21.467603434816549</v>
      </c>
      <c r="I110" s="212">
        <v>1</v>
      </c>
      <c r="J110" s="348">
        <f t="shared" si="18"/>
        <v>21.467603434816549</v>
      </c>
      <c r="K110" s="85">
        <f>VLOOKUP($C110,Machinery!C$91:D$102,2,FALSE)</f>
        <v>0.2</v>
      </c>
      <c r="L110" s="348">
        <f t="shared" si="16"/>
        <v>4.2935206869633102</v>
      </c>
    </row>
    <row r="111" spans="1:12" x14ac:dyDescent="0.35">
      <c r="B111" s="34"/>
      <c r="C111" s="34" t="s">
        <v>190</v>
      </c>
      <c r="D111" s="33" t="s">
        <v>191</v>
      </c>
      <c r="E111" s="82">
        <f>VLOOKUP($D111,Machinery!$B$3:$C$23,2,FALSE)</f>
        <v>167</v>
      </c>
      <c r="F111" s="347">
        <f>(Machinery!$C$106*Diesel!E111)/(Machinery!$C$107*1000)</f>
        <v>43.021077283372364</v>
      </c>
      <c r="G111" s="210">
        <f>VLOOKUP($C111,Machinery!C$91:E$102,3,FALSE)</f>
        <v>2</v>
      </c>
      <c r="H111" s="347">
        <f t="shared" si="17"/>
        <v>21.510538641686182</v>
      </c>
      <c r="I111" s="212">
        <v>1</v>
      </c>
      <c r="J111" s="348">
        <f t="shared" si="18"/>
        <v>21.510538641686182</v>
      </c>
      <c r="K111" s="85">
        <f>VLOOKUP($C111,Machinery!C$91:D$102,2,FALSE)</f>
        <v>0.9</v>
      </c>
      <c r="L111" s="348">
        <f t="shared" si="16"/>
        <v>19.359484777517565</v>
      </c>
    </row>
    <row r="112" spans="1:12" x14ac:dyDescent="0.35">
      <c r="B112" s="34"/>
      <c r="C112" s="34" t="s">
        <v>192</v>
      </c>
      <c r="D112" s="33" t="s">
        <v>193</v>
      </c>
      <c r="E112" s="82">
        <f>VLOOKUP($D112,Machinery!$B$3:$C$23,2,FALSE)</f>
        <v>75</v>
      </c>
      <c r="F112" s="347">
        <f>(Machinery!$C$106*Diesel!E112)/(Machinery!$C$107*1000)</f>
        <v>19.320843091334893</v>
      </c>
      <c r="G112" s="210">
        <f>VLOOKUP($C112,Machinery!C$91:E$102,3,FALSE)</f>
        <v>2.8</v>
      </c>
      <c r="H112" s="347">
        <f t="shared" si="17"/>
        <v>6.900301104048177</v>
      </c>
      <c r="I112" s="212">
        <v>1</v>
      </c>
      <c r="J112" s="348">
        <f t="shared" si="18"/>
        <v>6.900301104048177</v>
      </c>
      <c r="K112" s="85">
        <f>VLOOKUP($C112,Machinery!C$91:D$102,2,FALSE)</f>
        <v>1</v>
      </c>
      <c r="L112" s="348">
        <f t="shared" si="16"/>
        <v>6.900301104048177</v>
      </c>
    </row>
    <row r="113" spans="1:12" x14ac:dyDescent="0.35">
      <c r="B113" s="34" t="s">
        <v>220</v>
      </c>
      <c r="C113" s="34" t="s">
        <v>221</v>
      </c>
      <c r="D113" s="33" t="s">
        <v>222</v>
      </c>
      <c r="E113" s="82">
        <f>VLOOKUP($D113,Machinery!$B$3:$C$23,2,FALSE)</f>
        <v>200</v>
      </c>
      <c r="F113" s="347">
        <f>(Machinery!$C$106*Diesel!E113)/(Machinery!$C$107*1000)</f>
        <v>51.522248243559716</v>
      </c>
      <c r="G113" s="210">
        <f>VLOOKUP($C113,Machinery!C$91:E$102,3,FALSE)</f>
        <v>1.3</v>
      </c>
      <c r="H113" s="347">
        <f t="shared" si="17"/>
        <v>39.632498648892089</v>
      </c>
      <c r="I113" s="212">
        <v>1</v>
      </c>
      <c r="J113" s="348">
        <f t="shared" si="18"/>
        <v>39.632498648892089</v>
      </c>
      <c r="K113" s="85">
        <f>VLOOKUP($C113,Machinery!C$91:D$102,2,FALSE)</f>
        <v>1</v>
      </c>
      <c r="L113" s="348">
        <f t="shared" si="16"/>
        <v>39.632498648892089</v>
      </c>
    </row>
    <row r="114" spans="1:12" x14ac:dyDescent="0.35">
      <c r="B114" s="34" t="s">
        <v>200</v>
      </c>
      <c r="C114" s="34" t="s">
        <v>200</v>
      </c>
      <c r="D114" s="33" t="s">
        <v>199</v>
      </c>
      <c r="E114" s="82">
        <f>VLOOKUP($D114,Machinery!$B$3:$C$23,2,FALSE)</f>
        <v>179</v>
      </c>
      <c r="F114" s="347">
        <f>(Machinery!$C$106*Diesel!E114)/(Machinery!$C$107*1000)</f>
        <v>46.112412177985945</v>
      </c>
      <c r="G114" s="210">
        <f>VLOOKUP($C114,Machinery!C$91:E$102,3,FALSE)</f>
        <v>7.6</v>
      </c>
      <c r="H114" s="347">
        <f t="shared" si="17"/>
        <v>6.0674226549981514</v>
      </c>
      <c r="I114" s="212">
        <v>1</v>
      </c>
      <c r="J114" s="348">
        <f t="shared" si="18"/>
        <v>6.0674226549981514</v>
      </c>
      <c r="K114" s="85">
        <f>VLOOKUP($C114,Machinery!C$91:D$102,2,FALSE)</f>
        <v>0.3</v>
      </c>
      <c r="L114" s="348">
        <f t="shared" si="16"/>
        <v>1.8202267964994454</v>
      </c>
    </row>
    <row r="115" spans="1:12" x14ac:dyDescent="0.35">
      <c r="B115" s="34" t="s">
        <v>223</v>
      </c>
      <c r="C115" s="34" t="s">
        <v>223</v>
      </c>
      <c r="D115" s="34" t="s">
        <v>224</v>
      </c>
      <c r="E115" s="82">
        <f>VLOOKUP($D115,Machinery!$B$3:$C$23,2,FALSE)</f>
        <v>69</v>
      </c>
      <c r="F115" s="347">
        <f>(Machinery!$C$106*Diesel!E115)/(Machinery!$C$107*1000)</f>
        <v>17.775175644028103</v>
      </c>
      <c r="G115" s="210">
        <f>VLOOKUP($C115,Machinery!C$91:E$102,3,FALSE)</f>
        <v>1.1000000000000001</v>
      </c>
      <c r="H115" s="347">
        <f t="shared" si="17"/>
        <v>16.159250585480091</v>
      </c>
      <c r="I115" s="212">
        <v>1</v>
      </c>
      <c r="J115" s="348">
        <f t="shared" si="18"/>
        <v>16.159250585480091</v>
      </c>
      <c r="K115" s="85">
        <f>VLOOKUP($C115,Machinery!C$91:D$102,2,FALSE)</f>
        <v>1</v>
      </c>
      <c r="L115" s="348">
        <f t="shared" si="16"/>
        <v>16.159250585480091</v>
      </c>
    </row>
    <row r="116" spans="1:12" x14ac:dyDescent="0.35">
      <c r="A116" s="110"/>
      <c r="B116" s="104"/>
      <c r="C116" s="104"/>
      <c r="D116" s="104"/>
      <c r="E116" s="104"/>
      <c r="F116" s="215"/>
      <c r="G116" s="104"/>
      <c r="H116" s="215"/>
      <c r="I116" s="104"/>
      <c r="J116" s="350" t="s">
        <v>208</v>
      </c>
      <c r="K116" s="104"/>
      <c r="L116" s="349">
        <f>SUM(L108:L115)</f>
        <v>162.94773052248709</v>
      </c>
    </row>
    <row r="117" spans="1:12" x14ac:dyDescent="0.35">
      <c r="A117" s="24" t="s">
        <v>19</v>
      </c>
      <c r="B117" s="34" t="s">
        <v>198</v>
      </c>
      <c r="C117" s="34" t="s">
        <v>198</v>
      </c>
      <c r="D117" s="34" t="s">
        <v>199</v>
      </c>
      <c r="E117" s="82">
        <f>VLOOKUP($D117,Machinery!$B$3:$C$23,2,FALSE)</f>
        <v>179</v>
      </c>
      <c r="F117" s="347">
        <f>(Machinery!$C$106*Diesel!E117)/(Machinery!$C$107*1000)</f>
        <v>46.112412177985945</v>
      </c>
      <c r="G117" s="210">
        <f>VLOOKUP($C117,Machinery!C$91:E$102,3,FALSE)</f>
        <v>7.6</v>
      </c>
      <c r="H117" s="347">
        <f t="shared" ref="H117:H120" si="19">F117/G117</f>
        <v>6.0674226549981514</v>
      </c>
      <c r="I117" s="212">
        <v>1</v>
      </c>
      <c r="J117" s="348">
        <f t="shared" ref="J117:J120" si="20">H117*I117</f>
        <v>6.0674226549981514</v>
      </c>
      <c r="K117" s="85">
        <f>VLOOKUP($C117,Machinery!C$91:D$102,2,FALSE)</f>
        <v>5.2</v>
      </c>
      <c r="L117" s="348">
        <f t="shared" si="16"/>
        <v>31.550597805990389</v>
      </c>
    </row>
    <row r="118" spans="1:12" x14ac:dyDescent="0.35">
      <c r="B118" s="34" t="s">
        <v>200</v>
      </c>
      <c r="C118" s="34" t="s">
        <v>200</v>
      </c>
      <c r="D118" s="34" t="s">
        <v>199</v>
      </c>
      <c r="E118" s="82">
        <f>VLOOKUP($D118,Machinery!$B$3:$C$23,2,FALSE)</f>
        <v>179</v>
      </c>
      <c r="F118" s="347">
        <f>(Machinery!$C$106*Diesel!E118)/(Machinery!$C$107*1000)</f>
        <v>46.112412177985945</v>
      </c>
      <c r="G118" s="210">
        <f>VLOOKUP($C118,Machinery!C$91:E$102,3,FALSE)</f>
        <v>7.6</v>
      </c>
      <c r="H118" s="347">
        <f t="shared" si="19"/>
        <v>6.0674226549981514</v>
      </c>
      <c r="I118" s="212">
        <v>1</v>
      </c>
      <c r="J118" s="348">
        <f t="shared" si="20"/>
        <v>6.0674226549981514</v>
      </c>
      <c r="K118" s="85">
        <f>VLOOKUP($C118,Machinery!C$91:D$102,2,FALSE)</f>
        <v>0.3</v>
      </c>
      <c r="L118" s="348">
        <f t="shared" si="16"/>
        <v>1.8202267964994454</v>
      </c>
    </row>
    <row r="119" spans="1:12" x14ac:dyDescent="0.35">
      <c r="B119" s="34" t="s">
        <v>223</v>
      </c>
      <c r="C119" s="34" t="s">
        <v>223</v>
      </c>
      <c r="D119" s="34" t="s">
        <v>224</v>
      </c>
      <c r="E119" s="82">
        <f>VLOOKUP($D119,Machinery!$B$3:$C$23,2,FALSE)</f>
        <v>69</v>
      </c>
      <c r="F119" s="347">
        <f>(Machinery!$C$106*Diesel!E119)/(Machinery!$C$107*1000)</f>
        <v>17.775175644028103</v>
      </c>
      <c r="G119" s="210">
        <f>VLOOKUP($C119,Machinery!C$91:E$102,3,FALSE)</f>
        <v>1.1000000000000001</v>
      </c>
      <c r="H119" s="347">
        <f t="shared" si="19"/>
        <v>16.159250585480091</v>
      </c>
      <c r="I119" s="212">
        <v>1</v>
      </c>
      <c r="J119" s="348">
        <f t="shared" si="20"/>
        <v>16.159250585480091</v>
      </c>
      <c r="K119" s="85">
        <f>VLOOKUP($C119,Machinery!C$91:D$102,2,FALSE)</f>
        <v>1</v>
      </c>
      <c r="L119" s="348">
        <f t="shared" si="16"/>
        <v>16.159250585480091</v>
      </c>
    </row>
    <row r="120" spans="1:12" x14ac:dyDescent="0.35">
      <c r="B120" s="34" t="s">
        <v>206</v>
      </c>
      <c r="C120" s="34" t="s">
        <v>206</v>
      </c>
      <c r="D120" s="33" t="s">
        <v>207</v>
      </c>
      <c r="E120" s="82">
        <f>VLOOKUP($D120,Machinery!$B$3:$C$23,2,FALSE)</f>
        <v>75</v>
      </c>
      <c r="F120" s="347">
        <f>(Machinery!$C$106*Diesel!E120)/(Machinery!$C$107*1000)</f>
        <v>19.320843091334893</v>
      </c>
      <c r="G120" s="210">
        <f>VLOOKUP($C120,Machinery!C$91:E$102,3,FALSE)</f>
        <v>10.199999999999999</v>
      </c>
      <c r="H120" s="347">
        <f t="shared" si="19"/>
        <v>1.8942003030720485</v>
      </c>
      <c r="I120" s="212">
        <v>1</v>
      </c>
      <c r="J120" s="348">
        <f t="shared" si="20"/>
        <v>1.8942003030720485</v>
      </c>
      <c r="K120" s="85">
        <f>VLOOKUP($C120,Machinery!C$91:D$102,2,FALSE)</f>
        <v>2</v>
      </c>
      <c r="L120" s="348">
        <f t="shared" si="16"/>
        <v>3.7884006061440969</v>
      </c>
    </row>
    <row r="121" spans="1:12" x14ac:dyDescent="0.35">
      <c r="A121" s="110"/>
      <c r="B121" s="104"/>
      <c r="C121" s="104"/>
      <c r="D121" s="104"/>
      <c r="E121" s="104"/>
      <c r="F121" s="215"/>
      <c r="G121" s="104"/>
      <c r="H121" s="215"/>
      <c r="I121" s="104"/>
      <c r="J121" s="350" t="s">
        <v>208</v>
      </c>
      <c r="K121" s="104"/>
      <c r="L121" s="349">
        <f>SUM(L117:L119)</f>
        <v>49.530075187969928</v>
      </c>
    </row>
    <row r="122" spans="1:12" x14ac:dyDescent="0.35">
      <c r="A122" s="24" t="s">
        <v>228</v>
      </c>
      <c r="B122" s="34" t="s">
        <v>198</v>
      </c>
      <c r="C122" s="34" t="s">
        <v>198</v>
      </c>
      <c r="D122" s="33" t="s">
        <v>199</v>
      </c>
      <c r="E122" s="82">
        <f>VLOOKUP($D122,Machinery!$B$3:$C$23,2,FALSE)</f>
        <v>179</v>
      </c>
      <c r="F122" s="347">
        <f>(Machinery!$C$106*Diesel!E122)/(Machinery!$C$107*1000)</f>
        <v>46.112412177985945</v>
      </c>
      <c r="G122" s="210">
        <f>VLOOKUP($C122,Machinery!C$91:E$102,3,FALSE)</f>
        <v>7.6</v>
      </c>
      <c r="H122" s="347">
        <f t="shared" ref="H122:H130" si="21">F122/G122</f>
        <v>6.0674226549981514</v>
      </c>
      <c r="I122" s="212">
        <v>1</v>
      </c>
      <c r="J122" s="348">
        <f t="shared" ref="J122:J130" si="22">H122*I122</f>
        <v>6.0674226549981514</v>
      </c>
      <c r="K122" s="85">
        <f>VLOOKUP($C122,Machinery!C$91:D$102,2,FALSE)</f>
        <v>5.2</v>
      </c>
      <c r="L122" s="348">
        <f t="shared" si="16"/>
        <v>31.550597805990389</v>
      </c>
    </row>
    <row r="123" spans="1:12" x14ac:dyDescent="0.35">
      <c r="B123" s="34" t="s">
        <v>187</v>
      </c>
      <c r="C123" s="34" t="s">
        <v>188</v>
      </c>
      <c r="D123" s="33" t="s">
        <v>229</v>
      </c>
      <c r="E123" s="82">
        <f>VLOOKUP($D123,Machinery!$B$3:$C$23,2,FALSE)</f>
        <v>200</v>
      </c>
      <c r="F123" s="347">
        <f>(Machinery!$C$106*Diesel!E123)/(Machinery!$C$107*1000)</f>
        <v>51.522248243559716</v>
      </c>
      <c r="G123" s="210">
        <f>VLOOKUP($C123,Machinery!C$91:E$102,3,FALSE)</f>
        <v>1.1000000000000001</v>
      </c>
      <c r="H123" s="347">
        <f t="shared" si="21"/>
        <v>46.838407494145194</v>
      </c>
      <c r="I123" s="212">
        <v>1</v>
      </c>
      <c r="J123" s="348">
        <f t="shared" si="22"/>
        <v>46.838407494145194</v>
      </c>
      <c r="K123" s="85">
        <f>VLOOKUP($C123,Machinery!C$91:D$102,2,FALSE)</f>
        <v>1.3</v>
      </c>
      <c r="L123" s="348">
        <f t="shared" si="16"/>
        <v>60.889929742388752</v>
      </c>
    </row>
    <row r="124" spans="1:12" x14ac:dyDescent="0.35">
      <c r="B124" s="34"/>
      <c r="C124" s="34" t="s">
        <v>218</v>
      </c>
      <c r="D124" s="33" t="s">
        <v>219</v>
      </c>
      <c r="E124" s="82">
        <f>VLOOKUP($D124,Machinery!$B$3:$C$23,2,FALSE)</f>
        <v>200</v>
      </c>
      <c r="F124" s="347">
        <f>(Machinery!$C$106*Diesel!E124)/(Machinery!$C$107*1000)</f>
        <v>51.522248243559716</v>
      </c>
      <c r="G124" s="210">
        <f>VLOOKUP($C124,Machinery!C$91:E$102,3,FALSE)</f>
        <v>2.4</v>
      </c>
      <c r="H124" s="347">
        <f t="shared" si="21"/>
        <v>21.467603434816549</v>
      </c>
      <c r="I124" s="212">
        <v>1</v>
      </c>
      <c r="J124" s="348">
        <f t="shared" si="22"/>
        <v>21.467603434816549</v>
      </c>
      <c r="K124" s="85">
        <f>VLOOKUP($C124,Machinery!C$91:D$102,2,FALSE)</f>
        <v>0.2</v>
      </c>
      <c r="L124" s="348">
        <f t="shared" si="16"/>
        <v>4.2935206869633102</v>
      </c>
    </row>
    <row r="125" spans="1:12" x14ac:dyDescent="0.35">
      <c r="B125" s="34"/>
      <c r="C125" s="34" t="s">
        <v>190</v>
      </c>
      <c r="D125" s="33" t="s">
        <v>191</v>
      </c>
      <c r="E125" s="82">
        <f>VLOOKUP($D125,Machinery!$B$3:$C$23,2,FALSE)</f>
        <v>167</v>
      </c>
      <c r="F125" s="347">
        <f>(Machinery!$C$106*Diesel!E125)/(Machinery!$C$107*1000)</f>
        <v>43.021077283372364</v>
      </c>
      <c r="G125" s="210">
        <f>VLOOKUP($C125,Machinery!C$91:E$102,3,FALSE)</f>
        <v>2</v>
      </c>
      <c r="H125" s="347">
        <f t="shared" si="21"/>
        <v>21.510538641686182</v>
      </c>
      <c r="I125" s="212">
        <v>1</v>
      </c>
      <c r="J125" s="348">
        <f t="shared" si="22"/>
        <v>21.510538641686182</v>
      </c>
      <c r="K125" s="85">
        <f>VLOOKUP($C125,Machinery!C$91:D$102,2,FALSE)</f>
        <v>0.9</v>
      </c>
      <c r="L125" s="348">
        <f t="shared" si="16"/>
        <v>19.359484777517565</v>
      </c>
    </row>
    <row r="126" spans="1:12" x14ac:dyDescent="0.35">
      <c r="B126" s="34"/>
      <c r="C126" s="34" t="s">
        <v>192</v>
      </c>
      <c r="D126" s="33" t="s">
        <v>193</v>
      </c>
      <c r="E126" s="82">
        <f>VLOOKUP($D126,Machinery!$B$3:$C$23,2,FALSE)</f>
        <v>75</v>
      </c>
      <c r="F126" s="347">
        <f>(Machinery!$C$106*Diesel!E126)/(Machinery!$C$107*1000)</f>
        <v>19.320843091334893</v>
      </c>
      <c r="G126" s="210">
        <f>VLOOKUP($C126,Machinery!C$91:E$102,3,FALSE)</f>
        <v>2.8</v>
      </c>
      <c r="H126" s="347">
        <f t="shared" si="21"/>
        <v>6.900301104048177</v>
      </c>
      <c r="I126" s="212">
        <v>1</v>
      </c>
      <c r="J126" s="348">
        <f t="shared" si="22"/>
        <v>6.900301104048177</v>
      </c>
      <c r="K126" s="85">
        <f>VLOOKUP($C126,Machinery!C$91:D$102,2,FALSE)</f>
        <v>1</v>
      </c>
      <c r="L126" s="348">
        <f t="shared" si="16"/>
        <v>6.900301104048177</v>
      </c>
    </row>
    <row r="127" spans="1:12" x14ac:dyDescent="0.35">
      <c r="B127" s="34" t="s">
        <v>200</v>
      </c>
      <c r="C127" s="34" t="s">
        <v>200</v>
      </c>
      <c r="D127" s="33" t="s">
        <v>199</v>
      </c>
      <c r="E127" s="82">
        <f>VLOOKUP($D127,Machinery!$B$3:$C$23,2,FALSE)</f>
        <v>179</v>
      </c>
      <c r="F127" s="347">
        <f>(Machinery!$C$106*Diesel!E127)/(Machinery!$C$107*1000)</f>
        <v>46.112412177985945</v>
      </c>
      <c r="G127" s="210">
        <f>VLOOKUP($C127,Machinery!C$91:E$102,3,FALSE)</f>
        <v>7.6</v>
      </c>
      <c r="H127" s="347">
        <f t="shared" si="21"/>
        <v>6.0674226549981514</v>
      </c>
      <c r="I127" s="212">
        <v>1</v>
      </c>
      <c r="J127" s="348">
        <f t="shared" si="22"/>
        <v>6.0674226549981514</v>
      </c>
      <c r="K127" s="85">
        <f>VLOOKUP($C127,Machinery!C$91:D$102,2,FALSE)</f>
        <v>0.3</v>
      </c>
      <c r="L127" s="348">
        <f t="shared" si="16"/>
        <v>1.8202267964994454</v>
      </c>
    </row>
    <row r="128" spans="1:12" x14ac:dyDescent="0.35">
      <c r="B128" s="34" t="s">
        <v>220</v>
      </c>
      <c r="C128" s="34" t="s">
        <v>221</v>
      </c>
      <c r="D128" s="33" t="s">
        <v>222</v>
      </c>
      <c r="E128" s="82">
        <f>VLOOKUP($D128,Machinery!$B$3:$C$23,2,FALSE)</f>
        <v>200</v>
      </c>
      <c r="F128" s="347">
        <f>(Machinery!$C$106*Diesel!E128)/(Machinery!$C$107*1000)</f>
        <v>51.522248243559716</v>
      </c>
      <c r="G128" s="210">
        <f>VLOOKUP($C128,Machinery!C$91:E$102,3,FALSE)</f>
        <v>1.3</v>
      </c>
      <c r="H128" s="347">
        <f t="shared" si="21"/>
        <v>39.632498648892089</v>
      </c>
      <c r="I128" s="212">
        <v>1</v>
      </c>
      <c r="J128" s="348">
        <f t="shared" si="22"/>
        <v>39.632498648892089</v>
      </c>
      <c r="K128" s="85">
        <f>VLOOKUP($C128,Machinery!C$91:D$102,2,FALSE)</f>
        <v>1</v>
      </c>
      <c r="L128" s="348">
        <f t="shared" si="16"/>
        <v>39.632498648892089</v>
      </c>
    </row>
    <row r="129" spans="1:12" x14ac:dyDescent="0.35">
      <c r="B129" s="34" t="s">
        <v>230</v>
      </c>
      <c r="C129" s="34" t="s">
        <v>209</v>
      </c>
      <c r="D129" s="33" t="s">
        <v>210</v>
      </c>
      <c r="E129" s="82">
        <f>VLOOKUP($D129,Machinery!$B$3:$C$23,2,FALSE)</f>
        <v>75</v>
      </c>
      <c r="F129" s="347">
        <f>(Machinery!$C$106*Diesel!E129)/(Machinery!$C$107*1000)</f>
        <v>19.320843091334893</v>
      </c>
      <c r="G129" s="210">
        <f>VLOOKUP($C129,Machinery!C$91:E$102,3,FALSE)</f>
        <v>2.9</v>
      </c>
      <c r="H129" s="347">
        <f t="shared" si="21"/>
        <v>6.6623596866672052</v>
      </c>
      <c r="I129" s="212">
        <v>1</v>
      </c>
      <c r="J129" s="348">
        <f t="shared" si="22"/>
        <v>6.6623596866672052</v>
      </c>
      <c r="K129" s="85">
        <f>VLOOKUP($C129,Machinery!C$91:D$102,2,FALSE)</f>
        <v>1.5</v>
      </c>
      <c r="L129" s="348">
        <f t="shared" si="16"/>
        <v>9.9935395300008079</v>
      </c>
    </row>
    <row r="130" spans="1:12" x14ac:dyDescent="0.35">
      <c r="B130" s="34" t="s">
        <v>223</v>
      </c>
      <c r="C130" s="34" t="s">
        <v>223</v>
      </c>
      <c r="D130" s="33" t="s">
        <v>224</v>
      </c>
      <c r="E130" s="82">
        <f>VLOOKUP($D130,Machinery!$B$3:$C$23,2,FALSE)</f>
        <v>69</v>
      </c>
      <c r="F130" s="347">
        <f>(Machinery!$C$106*Diesel!E130)/(Machinery!$C$107*1000)</f>
        <v>17.775175644028103</v>
      </c>
      <c r="G130" s="210">
        <f>VLOOKUP($C130,Machinery!C$91:E$102,3,FALSE)</f>
        <v>1.1000000000000001</v>
      </c>
      <c r="H130" s="347">
        <f t="shared" si="21"/>
        <v>16.159250585480091</v>
      </c>
      <c r="I130" s="212">
        <v>1</v>
      </c>
      <c r="J130" s="348">
        <f t="shared" si="22"/>
        <v>16.159250585480091</v>
      </c>
      <c r="K130" s="85">
        <f>VLOOKUP($C130,Machinery!C$91:D$102,2,FALSE)</f>
        <v>1</v>
      </c>
      <c r="L130" s="348">
        <f t="shared" si="16"/>
        <v>16.159250585480091</v>
      </c>
    </row>
    <row r="131" spans="1:12" x14ac:dyDescent="0.35">
      <c r="A131" s="110"/>
      <c r="B131" s="104"/>
      <c r="C131" s="104"/>
      <c r="D131" s="104"/>
      <c r="E131" s="104"/>
      <c r="F131" s="215"/>
      <c r="G131" s="104"/>
      <c r="H131" s="215"/>
      <c r="I131" s="104"/>
      <c r="J131" s="350" t="s">
        <v>208</v>
      </c>
      <c r="K131" s="104"/>
      <c r="L131" s="349">
        <f>SUM(L122:L130)</f>
        <v>190.59934967778062</v>
      </c>
    </row>
    <row r="132" spans="1:12" x14ac:dyDescent="0.35">
      <c r="A132" s="24" t="s">
        <v>21</v>
      </c>
      <c r="B132" s="34" t="s">
        <v>230</v>
      </c>
      <c r="C132" s="34" t="s">
        <v>209</v>
      </c>
      <c r="D132" s="33" t="s">
        <v>210</v>
      </c>
      <c r="E132" s="82">
        <f>VLOOKUP($D132,Machinery!$B$3:$C$23,2,FALSE)</f>
        <v>75</v>
      </c>
      <c r="F132" s="347">
        <f>(Machinery!$C$106*Diesel!E132)/(Machinery!$C$107*1000)</f>
        <v>19.320843091334893</v>
      </c>
      <c r="G132" s="210">
        <f>VLOOKUP($C132,Machinery!C$91:E$102,3,FALSE)</f>
        <v>2.9</v>
      </c>
      <c r="H132" s="347">
        <f t="shared" ref="H132:H135" si="23">F132/G132</f>
        <v>6.6623596866672052</v>
      </c>
      <c r="I132" s="212">
        <v>1</v>
      </c>
      <c r="J132" s="348">
        <f t="shared" ref="J132:J135" si="24">H132*I132</f>
        <v>6.6623596866672052</v>
      </c>
      <c r="K132" s="85">
        <f>VLOOKUP($C132,Machinery!C$91:D$102,2,FALSE)</f>
        <v>1.5</v>
      </c>
      <c r="L132" s="348">
        <f t="shared" si="16"/>
        <v>9.9935395300008079</v>
      </c>
    </row>
    <row r="133" spans="1:12" x14ac:dyDescent="0.35">
      <c r="B133" s="34" t="s">
        <v>200</v>
      </c>
      <c r="C133" s="34" t="s">
        <v>200</v>
      </c>
      <c r="D133" s="33" t="s">
        <v>199</v>
      </c>
      <c r="E133" s="82">
        <f>VLOOKUP($D133,Machinery!$B$3:$C$23,2,FALSE)</f>
        <v>179</v>
      </c>
      <c r="F133" s="347">
        <f>(Machinery!$C$106*Diesel!E133)/(Machinery!$C$107*1000)</f>
        <v>46.112412177985945</v>
      </c>
      <c r="G133" s="210">
        <f>VLOOKUP($C133,Machinery!C$91:E$102,3,FALSE)</f>
        <v>7.6</v>
      </c>
      <c r="H133" s="347">
        <f t="shared" si="23"/>
        <v>6.0674226549981514</v>
      </c>
      <c r="I133" s="212">
        <v>1</v>
      </c>
      <c r="J133" s="348">
        <f t="shared" si="24"/>
        <v>6.0674226549981514</v>
      </c>
      <c r="K133" s="85">
        <f>VLOOKUP($C133,Machinery!C$91:D$102,2,FALSE)</f>
        <v>0.3</v>
      </c>
      <c r="L133" s="348">
        <f t="shared" si="16"/>
        <v>1.8202267964994454</v>
      </c>
    </row>
    <row r="134" spans="1:12" x14ac:dyDescent="0.35">
      <c r="B134" s="34" t="s">
        <v>201</v>
      </c>
      <c r="C134" s="34" t="s">
        <v>215</v>
      </c>
      <c r="D134" s="33" t="s">
        <v>216</v>
      </c>
      <c r="E134" s="82">
        <f>VLOOKUP($D134,Machinery!$B$3:$C$23,2,FALSE)</f>
        <v>370</v>
      </c>
      <c r="F134" s="347">
        <f>(Machinery!$C$106*Diesel!E134)/(Machinery!$C$107*1000)</f>
        <v>95.316159250585486</v>
      </c>
      <c r="G134" s="210">
        <f>VLOOKUP($C134,Machinery!C$91:E$102,3,FALSE)</f>
        <v>1.7</v>
      </c>
      <c r="H134" s="347">
        <f t="shared" si="23"/>
        <v>56.06832897093264</v>
      </c>
      <c r="I134" s="212">
        <v>1</v>
      </c>
      <c r="J134" s="348">
        <f t="shared" si="24"/>
        <v>56.06832897093264</v>
      </c>
      <c r="K134" s="85">
        <f>VLOOKUP($C134,Machinery!C$91:D$102,2,FALSE)</f>
        <v>1</v>
      </c>
      <c r="L134" s="348">
        <f t="shared" si="16"/>
        <v>56.06832897093264</v>
      </c>
    </row>
    <row r="135" spans="1:12" x14ac:dyDescent="0.35">
      <c r="B135" s="34" t="s">
        <v>206</v>
      </c>
      <c r="C135" s="34" t="s">
        <v>206</v>
      </c>
      <c r="D135" s="33" t="s">
        <v>207</v>
      </c>
      <c r="E135" s="82">
        <f>VLOOKUP($D135,Machinery!$B$3:$C$23,2,FALSE)</f>
        <v>75</v>
      </c>
      <c r="F135" s="347">
        <f>(Machinery!$C$106*Diesel!E135)/(Machinery!$C$107*1000)</f>
        <v>19.320843091334893</v>
      </c>
      <c r="G135" s="210">
        <f>VLOOKUP($C135,Machinery!C$91:E$102,3,FALSE)</f>
        <v>10.199999999999999</v>
      </c>
      <c r="H135" s="347">
        <f t="shared" si="23"/>
        <v>1.8942003030720485</v>
      </c>
      <c r="I135" s="212">
        <v>1</v>
      </c>
      <c r="J135" s="348">
        <f t="shared" si="24"/>
        <v>1.8942003030720485</v>
      </c>
      <c r="K135" s="85">
        <f>VLOOKUP($C135,Machinery!C$91:D$102,2,FALSE)</f>
        <v>2</v>
      </c>
      <c r="L135" s="348">
        <f t="shared" si="16"/>
        <v>3.7884006061440969</v>
      </c>
    </row>
    <row r="136" spans="1:12" x14ac:dyDescent="0.35">
      <c r="A136" s="110"/>
      <c r="B136" s="104"/>
      <c r="C136" s="104"/>
      <c r="D136" s="104"/>
      <c r="E136" s="104"/>
      <c r="F136" s="215"/>
      <c r="G136" s="104"/>
      <c r="H136" s="215"/>
      <c r="I136" s="104"/>
      <c r="J136" s="350" t="s">
        <v>208</v>
      </c>
      <c r="K136" s="104"/>
      <c r="L136" s="349">
        <f>SUM(L132:L134)</f>
        <v>67.882095297432897</v>
      </c>
    </row>
    <row r="137" spans="1:12" x14ac:dyDescent="0.35">
      <c r="A137" s="24" t="s">
        <v>231</v>
      </c>
      <c r="B137" s="34" t="s">
        <v>198</v>
      </c>
      <c r="C137" s="34" t="s">
        <v>198</v>
      </c>
      <c r="D137" s="33" t="s">
        <v>199</v>
      </c>
      <c r="E137" s="82">
        <f>VLOOKUP($D137,Machinery!$B$3:$C$23,2,FALSE)</f>
        <v>179</v>
      </c>
      <c r="F137" s="347">
        <f>(Machinery!$C$106*Diesel!E137)/(Machinery!$C$107*1000)</f>
        <v>46.112412177985945</v>
      </c>
      <c r="G137" s="210">
        <f>VLOOKUP($C137,Machinery!C$91:E$102,3,FALSE)</f>
        <v>7.6</v>
      </c>
      <c r="H137" s="347">
        <f t="shared" ref="H137:H144" si="25">F137/G137</f>
        <v>6.0674226549981514</v>
      </c>
      <c r="I137" s="212">
        <v>1</v>
      </c>
      <c r="J137" s="348">
        <f t="shared" ref="J137:J144" si="26">H137*I137</f>
        <v>6.0674226549981514</v>
      </c>
      <c r="K137" s="85">
        <f>VLOOKUP($C137,Machinery!C$91:D$102,2,FALSE)</f>
        <v>5.2</v>
      </c>
      <c r="L137" s="348">
        <f t="shared" si="16"/>
        <v>31.550597805990389</v>
      </c>
    </row>
    <row r="138" spans="1:12" x14ac:dyDescent="0.35">
      <c r="B138" s="34" t="s">
        <v>187</v>
      </c>
      <c r="C138" s="34" t="s">
        <v>188</v>
      </c>
      <c r="D138" s="33" t="s">
        <v>229</v>
      </c>
      <c r="E138" s="82">
        <f>VLOOKUP($D138,Machinery!$B$3:$C$23,2,FALSE)</f>
        <v>200</v>
      </c>
      <c r="F138" s="347">
        <f>(Machinery!$C$106*Diesel!E138)/(Machinery!$C$107*1000)</f>
        <v>51.522248243559716</v>
      </c>
      <c r="G138" s="210">
        <f>VLOOKUP($C138,Machinery!C$91:E$102,3,FALSE)</f>
        <v>1.1000000000000001</v>
      </c>
      <c r="H138" s="347">
        <f t="shared" si="25"/>
        <v>46.838407494145194</v>
      </c>
      <c r="I138" s="212">
        <v>1</v>
      </c>
      <c r="J138" s="348">
        <f t="shared" si="26"/>
        <v>46.838407494145194</v>
      </c>
      <c r="K138" s="85">
        <f>VLOOKUP($C138,Machinery!C$91:D$102,2,FALSE)</f>
        <v>1.3</v>
      </c>
      <c r="L138" s="348">
        <f t="shared" si="16"/>
        <v>60.889929742388752</v>
      </c>
    </row>
    <row r="139" spans="1:12" x14ac:dyDescent="0.35">
      <c r="B139" s="34"/>
      <c r="C139" s="34" t="s">
        <v>218</v>
      </c>
      <c r="D139" s="33" t="s">
        <v>219</v>
      </c>
      <c r="E139" s="82">
        <f>VLOOKUP($D139,Machinery!$B$3:$C$23,2,FALSE)</f>
        <v>200</v>
      </c>
      <c r="F139" s="347">
        <f>(Machinery!$C$106*Diesel!E139)/(Machinery!$C$107*1000)</f>
        <v>51.522248243559716</v>
      </c>
      <c r="G139" s="210">
        <f>VLOOKUP($C139,Machinery!C$91:E$102,3,FALSE)</f>
        <v>2.4</v>
      </c>
      <c r="H139" s="347">
        <f t="shared" si="25"/>
        <v>21.467603434816549</v>
      </c>
      <c r="I139" s="212">
        <v>1</v>
      </c>
      <c r="J139" s="348">
        <f t="shared" si="26"/>
        <v>21.467603434816549</v>
      </c>
      <c r="K139" s="85">
        <f>VLOOKUP($C139,Machinery!C$91:D$102,2,FALSE)</f>
        <v>0.2</v>
      </c>
      <c r="L139" s="348">
        <f t="shared" si="16"/>
        <v>4.2935206869633102</v>
      </c>
    </row>
    <row r="140" spans="1:12" x14ac:dyDescent="0.35">
      <c r="B140" s="34"/>
      <c r="C140" s="34" t="s">
        <v>190</v>
      </c>
      <c r="D140" s="34" t="s">
        <v>191</v>
      </c>
      <c r="E140" s="82">
        <f>VLOOKUP($D140,Machinery!$B$3:$C$23,2,FALSE)</f>
        <v>167</v>
      </c>
      <c r="F140" s="347">
        <f>(Machinery!$C$106*Diesel!E140)/(Machinery!$C$107*1000)</f>
        <v>43.021077283372364</v>
      </c>
      <c r="G140" s="210">
        <f>VLOOKUP($C140,Machinery!C$91:E$102,3,FALSE)</f>
        <v>2</v>
      </c>
      <c r="H140" s="347">
        <f t="shared" si="25"/>
        <v>21.510538641686182</v>
      </c>
      <c r="I140" s="212">
        <v>1</v>
      </c>
      <c r="J140" s="348">
        <f t="shared" si="26"/>
        <v>21.510538641686182</v>
      </c>
      <c r="K140" s="85">
        <f>VLOOKUP($C140,Machinery!C$91:D$102,2,FALSE)</f>
        <v>0.9</v>
      </c>
      <c r="L140" s="348">
        <f t="shared" si="16"/>
        <v>19.359484777517565</v>
      </c>
    </row>
    <row r="141" spans="1:12" x14ac:dyDescent="0.35">
      <c r="B141" s="34"/>
      <c r="C141" s="34" t="s">
        <v>192</v>
      </c>
      <c r="D141" s="34" t="s">
        <v>193</v>
      </c>
      <c r="E141" s="82">
        <f>VLOOKUP($D141,Machinery!$B$3:$C$23,2,FALSE)</f>
        <v>75</v>
      </c>
      <c r="F141" s="347">
        <f>(Machinery!$C$106*Diesel!E141)/(Machinery!$C$107*1000)</f>
        <v>19.320843091334893</v>
      </c>
      <c r="G141" s="210">
        <f>VLOOKUP($C141,Machinery!C$91:E$102,3,FALSE)</f>
        <v>2.8</v>
      </c>
      <c r="H141" s="347">
        <f t="shared" si="25"/>
        <v>6.900301104048177</v>
      </c>
      <c r="I141" s="212">
        <v>1</v>
      </c>
      <c r="J141" s="348">
        <f t="shared" si="26"/>
        <v>6.900301104048177</v>
      </c>
      <c r="K141" s="85">
        <f>VLOOKUP($C141,Machinery!C$91:D$102,2,FALSE)</f>
        <v>1</v>
      </c>
      <c r="L141" s="348">
        <f t="shared" si="16"/>
        <v>6.900301104048177</v>
      </c>
    </row>
    <row r="142" spans="1:12" x14ac:dyDescent="0.35">
      <c r="B142" s="34" t="s">
        <v>200</v>
      </c>
      <c r="C142" s="34" t="s">
        <v>200</v>
      </c>
      <c r="D142" s="33" t="s">
        <v>199</v>
      </c>
      <c r="E142" s="82">
        <f>VLOOKUP($D142,Machinery!$B$3:$C$23,2,FALSE)</f>
        <v>179</v>
      </c>
      <c r="F142" s="347">
        <f>(Machinery!$C$106*Diesel!E142)/(Machinery!$C$107*1000)</f>
        <v>46.112412177985945</v>
      </c>
      <c r="G142" s="210">
        <f>VLOOKUP($C142,Machinery!C$91:E$102,3,FALSE)</f>
        <v>7.6</v>
      </c>
      <c r="H142" s="347">
        <f t="shared" si="25"/>
        <v>6.0674226549981514</v>
      </c>
      <c r="I142" s="212">
        <v>1</v>
      </c>
      <c r="J142" s="348">
        <f t="shared" si="26"/>
        <v>6.0674226549981514</v>
      </c>
      <c r="K142" s="85">
        <f>VLOOKUP($C142,Machinery!C$91:D$102,2,FALSE)</f>
        <v>0.3</v>
      </c>
      <c r="L142" s="348">
        <f t="shared" si="16"/>
        <v>1.8202267964994454</v>
      </c>
    </row>
    <row r="143" spans="1:12" x14ac:dyDescent="0.35">
      <c r="B143" s="34" t="s">
        <v>232</v>
      </c>
      <c r="C143" s="34" t="s">
        <v>196</v>
      </c>
      <c r="D143" s="34" t="s">
        <v>197</v>
      </c>
      <c r="E143" s="82">
        <f>VLOOKUP($D143,Machinery!$B$3:$C$23,2,FALSE)</f>
        <v>200</v>
      </c>
      <c r="F143" s="347">
        <f>(Machinery!$C$106*Diesel!E143)/(Machinery!$C$107*1000)</f>
        <v>51.522248243559716</v>
      </c>
      <c r="G143" s="210">
        <f>VLOOKUP($C143,Machinery!C$91:E$102,3,FALSE)</f>
        <v>4.0999999999999996</v>
      </c>
      <c r="H143" s="347">
        <f t="shared" si="25"/>
        <v>12.566402010624323</v>
      </c>
      <c r="I143" s="212">
        <v>1</v>
      </c>
      <c r="J143" s="348">
        <f t="shared" si="26"/>
        <v>12.566402010624323</v>
      </c>
      <c r="K143" s="85">
        <f>VLOOKUP($C143,Machinery!C$91:D$102,2,FALSE)</f>
        <v>1</v>
      </c>
      <c r="L143" s="348">
        <f t="shared" si="16"/>
        <v>12.566402010624323</v>
      </c>
    </row>
    <row r="144" spans="1:12" x14ac:dyDescent="0.35">
      <c r="B144" s="34" t="s">
        <v>230</v>
      </c>
      <c r="C144" s="34" t="s">
        <v>209</v>
      </c>
      <c r="D144" s="33" t="s">
        <v>210</v>
      </c>
      <c r="E144" s="82">
        <f>VLOOKUP($D144,Machinery!$B$3:$C$23,2,FALSE)</f>
        <v>75</v>
      </c>
      <c r="F144" s="347">
        <f>(Machinery!$C$106*Diesel!E144)/(Machinery!$C$107*1000)</f>
        <v>19.320843091334893</v>
      </c>
      <c r="G144" s="210">
        <f>VLOOKUP($C144,Machinery!C$91:E$102,3,FALSE)</f>
        <v>2.9</v>
      </c>
      <c r="H144" s="347">
        <f t="shared" si="25"/>
        <v>6.6623596866672052</v>
      </c>
      <c r="I144" s="212">
        <v>1</v>
      </c>
      <c r="J144" s="348">
        <f t="shared" si="26"/>
        <v>6.6623596866672052</v>
      </c>
      <c r="K144" s="85">
        <f>VLOOKUP($C144,Machinery!C$91:D$102,2,FALSE)</f>
        <v>1.5</v>
      </c>
      <c r="L144" s="348">
        <f t="shared" si="16"/>
        <v>9.9935395300008079</v>
      </c>
    </row>
    <row r="145" spans="1:12" x14ac:dyDescent="0.35">
      <c r="A145" s="110"/>
      <c r="B145" s="104"/>
      <c r="C145" s="104"/>
      <c r="D145" s="104"/>
      <c r="E145" s="104"/>
      <c r="F145" s="215"/>
      <c r="G145" s="104"/>
      <c r="H145" s="215"/>
      <c r="I145" s="104"/>
      <c r="J145" s="350" t="s">
        <v>208</v>
      </c>
      <c r="K145" s="104"/>
      <c r="L145" s="349">
        <f>SUM(L137:L144)</f>
        <v>147.37400245403276</v>
      </c>
    </row>
    <row r="146" spans="1:12" x14ac:dyDescent="0.35">
      <c r="A146" s="24" t="s">
        <v>23</v>
      </c>
      <c r="B146" s="34" t="s">
        <v>230</v>
      </c>
      <c r="C146" s="34" t="s">
        <v>209</v>
      </c>
      <c r="D146" s="33" t="s">
        <v>210</v>
      </c>
      <c r="E146" s="82">
        <f>VLOOKUP($D146,Machinery!$B$3:$C$23,2,FALSE)</f>
        <v>75</v>
      </c>
      <c r="F146" s="347">
        <f>(Machinery!$C$106*Diesel!E146)/(Machinery!$C$107*1000)</f>
        <v>19.320843091334893</v>
      </c>
      <c r="G146" s="210">
        <f>VLOOKUP($C146,Machinery!C$91:E$102,3,FALSE)</f>
        <v>2.9</v>
      </c>
      <c r="H146" s="347">
        <f t="shared" ref="H146:H149" si="27">F146/G146</f>
        <v>6.6623596866672052</v>
      </c>
      <c r="I146" s="212">
        <v>1</v>
      </c>
      <c r="J146" s="348">
        <f t="shared" ref="J146:J149" si="28">H146*I146</f>
        <v>6.6623596866672052</v>
      </c>
      <c r="K146" s="85">
        <f>VLOOKUP($C146,Machinery!C$91:D$102,2,FALSE)</f>
        <v>1.5</v>
      </c>
      <c r="L146" s="348">
        <f t="shared" si="16"/>
        <v>9.9935395300008079</v>
      </c>
    </row>
    <row r="147" spans="1:12" x14ac:dyDescent="0.35">
      <c r="B147" s="34" t="s">
        <v>200</v>
      </c>
      <c r="C147" s="34" t="s">
        <v>200</v>
      </c>
      <c r="D147" s="33" t="s">
        <v>199</v>
      </c>
      <c r="E147" s="82">
        <f>VLOOKUP($D147,Machinery!$B$3:$C$23,2,FALSE)</f>
        <v>179</v>
      </c>
      <c r="F147" s="347">
        <f>(Machinery!$C$106*Diesel!E147)/(Machinery!$C$107*1000)</f>
        <v>46.112412177985945</v>
      </c>
      <c r="G147" s="210">
        <f>VLOOKUP($C147,Machinery!C$91:E$102,3,FALSE)</f>
        <v>7.6</v>
      </c>
      <c r="H147" s="347">
        <f t="shared" si="27"/>
        <v>6.0674226549981514</v>
      </c>
      <c r="I147" s="212">
        <v>1</v>
      </c>
      <c r="J147" s="348">
        <f t="shared" si="28"/>
        <v>6.0674226549981514</v>
      </c>
      <c r="K147" s="85">
        <f>VLOOKUP($C147,Machinery!C$91:D$102,2,FALSE)</f>
        <v>0.3</v>
      </c>
      <c r="L147" s="348">
        <f t="shared" si="16"/>
        <v>1.8202267964994454</v>
      </c>
    </row>
    <row r="148" spans="1:12" x14ac:dyDescent="0.35">
      <c r="B148" s="34" t="s">
        <v>201</v>
      </c>
      <c r="C148" s="34" t="s">
        <v>215</v>
      </c>
      <c r="D148" s="33" t="s">
        <v>216</v>
      </c>
      <c r="E148" s="82">
        <f>VLOOKUP($D148,Machinery!$B$3:$C$23,2,FALSE)</f>
        <v>370</v>
      </c>
      <c r="F148" s="347">
        <f>(Machinery!$C$106*Diesel!E148)/(Machinery!$C$107*1000)</f>
        <v>95.316159250585486</v>
      </c>
      <c r="G148" s="210">
        <f>VLOOKUP($C148,Machinery!C$91:E$102,3,FALSE)</f>
        <v>1.7</v>
      </c>
      <c r="H148" s="347">
        <f t="shared" si="27"/>
        <v>56.06832897093264</v>
      </c>
      <c r="I148" s="212">
        <v>1</v>
      </c>
      <c r="J148" s="348">
        <f t="shared" si="28"/>
        <v>56.06832897093264</v>
      </c>
      <c r="K148" s="85">
        <f>VLOOKUP($C148,Machinery!C$91:D$102,2,FALSE)</f>
        <v>1</v>
      </c>
      <c r="L148" s="348">
        <f t="shared" si="16"/>
        <v>56.06832897093264</v>
      </c>
    </row>
    <row r="149" spans="1:12" x14ac:dyDescent="0.35">
      <c r="B149" s="34" t="s">
        <v>206</v>
      </c>
      <c r="C149" s="34" t="s">
        <v>206</v>
      </c>
      <c r="D149" s="33" t="s">
        <v>207</v>
      </c>
      <c r="E149" s="82">
        <f>VLOOKUP($D149,Machinery!$B$3:$C$23,2,FALSE)</f>
        <v>75</v>
      </c>
      <c r="F149" s="347">
        <f>(Machinery!$C$106*Diesel!E149)/(Machinery!$C$107*1000)</f>
        <v>19.320843091334893</v>
      </c>
      <c r="G149" s="210">
        <f>VLOOKUP($C149,Machinery!C$91:E$102,3,FALSE)</f>
        <v>10.199999999999999</v>
      </c>
      <c r="H149" s="347">
        <f t="shared" si="27"/>
        <v>1.8942003030720485</v>
      </c>
      <c r="I149" s="212">
        <v>1</v>
      </c>
      <c r="J149" s="348">
        <f t="shared" si="28"/>
        <v>1.8942003030720485</v>
      </c>
      <c r="K149" s="85">
        <f>VLOOKUP($C149,Machinery!C$91:D$102,2,FALSE)</f>
        <v>2</v>
      </c>
      <c r="L149" s="348">
        <f t="shared" si="16"/>
        <v>3.7884006061440969</v>
      </c>
    </row>
    <row r="150" spans="1:12" x14ac:dyDescent="0.35">
      <c r="A150" s="110"/>
      <c r="B150" s="104"/>
      <c r="C150" s="104"/>
      <c r="D150" s="104"/>
      <c r="E150" s="104"/>
      <c r="F150" s="104"/>
      <c r="G150" s="104"/>
      <c r="H150" s="215"/>
      <c r="I150" s="104"/>
      <c r="J150" s="105" t="s">
        <v>208</v>
      </c>
      <c r="K150" s="104"/>
      <c r="L150" s="349">
        <f>SUM(L146:L148)</f>
        <v>67.882095297432897</v>
      </c>
    </row>
  </sheetData>
  <mergeCells count="9">
    <mergeCell ref="A11:J11"/>
    <mergeCell ref="B4:J4"/>
    <mergeCell ref="B5:J5"/>
    <mergeCell ref="B6:J6"/>
    <mergeCell ref="B7:J7"/>
    <mergeCell ref="B8:D8"/>
    <mergeCell ref="E8:F8"/>
    <mergeCell ref="G8:H8"/>
    <mergeCell ref="I8:J8"/>
  </mergeCells>
  <pageMargins left="1.25" right="1.25" top="1" bottom="0.74583299999999997" header="0.25" footer="0.25"/>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42"/>
  <sheetViews>
    <sheetView workbookViewId="0">
      <selection activeCell="E36" sqref="E36"/>
    </sheetView>
  </sheetViews>
  <sheetFormatPr defaultRowHeight="14.5" x14ac:dyDescent="0.35"/>
  <cols>
    <col min="1" max="2" width="14.81640625" customWidth="1"/>
    <col min="3" max="3" width="24.81640625" customWidth="1"/>
    <col min="4" max="4" width="31.1796875" customWidth="1"/>
    <col min="5" max="5" width="50.36328125" customWidth="1"/>
    <col min="6" max="6" width="36.81640625" customWidth="1"/>
  </cols>
  <sheetData>
    <row r="1" spans="1:6" x14ac:dyDescent="0.35">
      <c r="A1" s="393" t="s">
        <v>716</v>
      </c>
    </row>
    <row r="2" spans="1:6" x14ac:dyDescent="0.35">
      <c r="A2" s="393" t="s">
        <v>717</v>
      </c>
    </row>
    <row r="3" spans="1:6" x14ac:dyDescent="0.35">
      <c r="A3" s="1"/>
    </row>
    <row r="4" spans="1:6" ht="11.5" customHeight="1" x14ac:dyDescent="0.35">
      <c r="A4" s="539" t="s">
        <v>233</v>
      </c>
      <c r="B4" s="539"/>
      <c r="C4" s="540" t="s">
        <v>234</v>
      </c>
      <c r="D4" s="540"/>
      <c r="E4" s="540"/>
      <c r="F4" s="540"/>
    </row>
    <row r="5" spans="1:6" ht="11.5" customHeight="1" x14ac:dyDescent="0.35">
      <c r="A5" s="539" t="s">
        <v>235</v>
      </c>
      <c r="B5" s="539"/>
      <c r="C5" s="540" t="s">
        <v>236</v>
      </c>
      <c r="D5" s="540"/>
      <c r="E5" s="540"/>
      <c r="F5" s="540"/>
    </row>
    <row r="6" spans="1:6" ht="11.25" customHeight="1" x14ac:dyDescent="0.35">
      <c r="A6" s="539" t="s">
        <v>237</v>
      </c>
      <c r="B6" s="539"/>
      <c r="C6" s="540" t="s">
        <v>238</v>
      </c>
      <c r="D6" s="540"/>
      <c r="E6" s="540"/>
      <c r="F6" s="540"/>
    </row>
    <row r="7" spans="1:6" ht="11.5" customHeight="1" x14ac:dyDescent="0.35">
      <c r="A7" s="539" t="s">
        <v>239</v>
      </c>
      <c r="B7" s="539"/>
      <c r="C7" s="540" t="s">
        <v>240</v>
      </c>
      <c r="D7" s="540"/>
      <c r="E7" s="540"/>
      <c r="F7" s="540"/>
    </row>
    <row r="8" spans="1:6" ht="46" customHeight="1" x14ac:dyDescent="0.35">
      <c r="A8" s="539" t="s">
        <v>241</v>
      </c>
      <c r="B8" s="539"/>
      <c r="C8" s="284" t="s">
        <v>242</v>
      </c>
      <c r="D8" s="543" t="s">
        <v>243</v>
      </c>
      <c r="E8" s="544"/>
      <c r="F8" s="544"/>
    </row>
    <row r="9" spans="1:6" ht="25.5" thickBot="1" x14ac:dyDescent="0.4">
      <c r="A9" s="541" t="s">
        <v>244</v>
      </c>
      <c r="B9" s="541"/>
      <c r="C9" s="545" t="s">
        <v>245</v>
      </c>
      <c r="D9" s="285" t="s">
        <v>246</v>
      </c>
      <c r="E9" s="285" t="s">
        <v>247</v>
      </c>
      <c r="F9" s="285" t="s">
        <v>248</v>
      </c>
    </row>
    <row r="10" spans="1:6" ht="16" customHeight="1" thickTop="1" thickBot="1" x14ac:dyDescent="0.4">
      <c r="A10" s="546" t="s">
        <v>249</v>
      </c>
      <c r="B10" s="545" t="s">
        <v>250</v>
      </c>
      <c r="C10" s="545"/>
      <c r="D10" s="286" t="s">
        <v>251</v>
      </c>
      <c r="E10" s="286" t="s">
        <v>251</v>
      </c>
      <c r="F10" s="286" t="s">
        <v>251</v>
      </c>
    </row>
    <row r="11" spans="1:6" ht="15.5" thickTop="1" thickBot="1" x14ac:dyDescent="0.4">
      <c r="A11" s="546"/>
      <c r="B11" s="545"/>
      <c r="C11" s="545"/>
      <c r="D11" s="286" t="s">
        <v>252</v>
      </c>
      <c r="E11" s="286" t="s">
        <v>252</v>
      </c>
      <c r="F11" s="286" t="s">
        <v>253</v>
      </c>
    </row>
    <row r="12" spans="1:6" ht="81.5" customHeight="1" thickTop="1" thickBot="1" x14ac:dyDescent="0.4">
      <c r="A12" s="546"/>
      <c r="B12" s="545"/>
      <c r="C12" s="545"/>
      <c r="D12" s="287" t="s">
        <v>254</v>
      </c>
      <c r="E12" s="287" t="s">
        <v>255</v>
      </c>
      <c r="F12" s="141" t="s">
        <v>256</v>
      </c>
    </row>
    <row r="13" spans="1:6" ht="15" thickTop="1" x14ac:dyDescent="0.35">
      <c r="A13" s="311" t="s">
        <v>257</v>
      </c>
      <c r="B13" s="311" t="s">
        <v>257</v>
      </c>
      <c r="C13" s="237"/>
      <c r="D13" s="19"/>
      <c r="E13" s="133"/>
      <c r="F13" s="19"/>
    </row>
    <row r="14" spans="1:6" ht="15" customHeight="1" x14ac:dyDescent="0.35">
      <c r="A14" s="541" t="s">
        <v>258</v>
      </c>
      <c r="B14" s="541"/>
      <c r="C14" s="541"/>
      <c r="D14" s="270"/>
      <c r="E14" s="270"/>
      <c r="F14" s="270"/>
    </row>
    <row r="15" spans="1:6" ht="64" customHeight="1" x14ac:dyDescent="0.35">
      <c r="A15" s="542" t="s">
        <v>259</v>
      </c>
      <c r="B15" s="542"/>
      <c r="C15" s="542"/>
      <c r="D15" s="542"/>
      <c r="E15" s="542"/>
      <c r="F15" s="542"/>
    </row>
    <row r="18" spans="1:11" x14ac:dyDescent="0.35">
      <c r="A18" s="106" t="s">
        <v>714</v>
      </c>
      <c r="B18" s="414" t="s">
        <v>710</v>
      </c>
      <c r="C18" s="414" t="s">
        <v>98</v>
      </c>
      <c r="D18" s="414" t="s">
        <v>711</v>
      </c>
      <c r="E18" s="414" t="s">
        <v>99</v>
      </c>
      <c r="F18" s="473" t="s">
        <v>100</v>
      </c>
      <c r="G18" s="414" t="s">
        <v>712</v>
      </c>
      <c r="H18" s="414" t="s">
        <v>713</v>
      </c>
      <c r="I18" s="414" t="s">
        <v>98</v>
      </c>
      <c r="J18" s="414" t="s">
        <v>100</v>
      </c>
      <c r="K18" s="414" t="s">
        <v>102</v>
      </c>
    </row>
    <row r="19" spans="1:11" x14ac:dyDescent="0.35">
      <c r="B19" s="136" t="s">
        <v>105</v>
      </c>
      <c r="C19" s="136" t="s">
        <v>106</v>
      </c>
      <c r="D19" s="136" t="s">
        <v>105</v>
      </c>
      <c r="E19" s="136" t="s">
        <v>107</v>
      </c>
      <c r="F19" s="405" t="s">
        <v>106</v>
      </c>
      <c r="G19" s="136" t="s">
        <v>109</v>
      </c>
      <c r="H19" s="136" t="s">
        <v>110</v>
      </c>
      <c r="I19" s="136" t="s">
        <v>106</v>
      </c>
      <c r="J19" s="136" t="s">
        <v>106</v>
      </c>
      <c r="K19" s="136" t="s">
        <v>106</v>
      </c>
    </row>
    <row r="20" spans="1:11" x14ac:dyDescent="0.35">
      <c r="A20" s="353" t="s">
        <v>36</v>
      </c>
      <c r="B20" s="385">
        <v>0</v>
      </c>
      <c r="C20" s="385">
        <f>1/'Other input data'!F$25</f>
        <v>0.12698412698412698</v>
      </c>
      <c r="D20" s="385">
        <f t="shared" ref="D20:D36" si="0">B20*(1+C20)</f>
        <v>0</v>
      </c>
      <c r="E20" s="385">
        <v>1</v>
      </c>
      <c r="F20" s="406">
        <f>'Other input data'!F$20</f>
        <v>0.5</v>
      </c>
      <c r="G20" s="385">
        <v>0</v>
      </c>
      <c r="H20" s="385">
        <v>0</v>
      </c>
      <c r="I20" s="385">
        <f t="shared" ref="I20:I36" si="1">C20</f>
        <v>0.12698412698412698</v>
      </c>
      <c r="J20" s="386">
        <f t="shared" ref="J20:J36" si="2">F20</f>
        <v>0.5</v>
      </c>
      <c r="K20" s="385">
        <v>1</v>
      </c>
    </row>
    <row r="21" spans="1:11" x14ac:dyDescent="0.35">
      <c r="A21" s="145" t="s">
        <v>37</v>
      </c>
      <c r="B21" s="351">
        <f>'Other input data'!$G$36/3</f>
        <v>10</v>
      </c>
      <c r="C21" s="351">
        <f>1/'Other input data'!F$25</f>
        <v>0.12698412698412698</v>
      </c>
      <c r="D21" s="351">
        <f t="shared" si="0"/>
        <v>11.269841269841269</v>
      </c>
      <c r="E21" s="351">
        <v>1</v>
      </c>
      <c r="F21" s="407">
        <f>'Other input data'!F$20</f>
        <v>0.5</v>
      </c>
      <c r="G21" s="351">
        <v>0</v>
      </c>
      <c r="H21" s="351">
        <v>0</v>
      </c>
      <c r="I21" s="351">
        <f t="shared" si="1"/>
        <v>0.12698412698412698</v>
      </c>
      <c r="J21" s="352">
        <f t="shared" si="2"/>
        <v>0.5</v>
      </c>
      <c r="K21" s="351">
        <v>1</v>
      </c>
    </row>
    <row r="22" spans="1:11" x14ac:dyDescent="0.35">
      <c r="A22" s="145" t="s">
        <v>38</v>
      </c>
      <c r="B22" s="351">
        <f>'Other input data'!$G$36/3</f>
        <v>10</v>
      </c>
      <c r="C22" s="351">
        <f>1/'Other input data'!F$25</f>
        <v>0.12698412698412698</v>
      </c>
      <c r="D22" s="351">
        <f t="shared" si="0"/>
        <v>11.269841269841269</v>
      </c>
      <c r="E22" s="351">
        <v>1</v>
      </c>
      <c r="F22" s="407">
        <f>'Other input data'!F$20</f>
        <v>0.5</v>
      </c>
      <c r="G22" s="351">
        <v>0</v>
      </c>
      <c r="H22" s="351">
        <v>0</v>
      </c>
      <c r="I22" s="351">
        <f t="shared" si="1"/>
        <v>0.12698412698412698</v>
      </c>
      <c r="J22" s="352">
        <f t="shared" si="2"/>
        <v>0.5</v>
      </c>
      <c r="K22" s="351">
        <v>1</v>
      </c>
    </row>
    <row r="23" spans="1:11" x14ac:dyDescent="0.35">
      <c r="A23" s="145" t="s">
        <v>671</v>
      </c>
      <c r="B23" s="351">
        <f>'Other input data'!$G$36/3</f>
        <v>10</v>
      </c>
      <c r="C23" s="351">
        <f>1/'Other input data'!F$25</f>
        <v>0.12698412698412698</v>
      </c>
      <c r="D23" s="351">
        <f t="shared" si="0"/>
        <v>11.269841269841269</v>
      </c>
      <c r="E23" s="351">
        <v>1</v>
      </c>
      <c r="F23" s="407">
        <f>'Other input data'!F$20</f>
        <v>0.5</v>
      </c>
      <c r="G23" s="351">
        <v>1</v>
      </c>
      <c r="H23" s="351">
        <f>'Other input data'!G36</f>
        <v>30</v>
      </c>
      <c r="I23" s="351">
        <f t="shared" si="1"/>
        <v>0.12698412698412698</v>
      </c>
      <c r="J23" s="352">
        <f t="shared" si="2"/>
        <v>0.5</v>
      </c>
      <c r="K23" s="351">
        <v>1</v>
      </c>
    </row>
    <row r="24" spans="1:11" x14ac:dyDescent="0.35">
      <c r="A24" s="353" t="s">
        <v>40</v>
      </c>
      <c r="B24" s="248">
        <f>'Other input data'!D33</f>
        <v>0.6</v>
      </c>
      <c r="C24" s="248">
        <f>'Other input data'!F$26</f>
        <v>0.38910505836575876</v>
      </c>
      <c r="D24" s="248">
        <f t="shared" si="0"/>
        <v>0.83346303501945518</v>
      </c>
      <c r="E24" s="248">
        <v>1</v>
      </c>
      <c r="F24" s="408">
        <f>'Other input data'!F$22</f>
        <v>0.47</v>
      </c>
      <c r="G24" s="248">
        <v>1</v>
      </c>
      <c r="H24" s="248">
        <f t="shared" ref="H24:H36" si="3">B24</f>
        <v>0.6</v>
      </c>
      <c r="I24" s="248">
        <f t="shared" si="1"/>
        <v>0.38910505836575876</v>
      </c>
      <c r="J24" s="139">
        <f t="shared" si="2"/>
        <v>0.47</v>
      </c>
      <c r="K24" s="248">
        <v>1</v>
      </c>
    </row>
    <row r="25" spans="1:11" x14ac:dyDescent="0.35">
      <c r="A25" s="145" t="s">
        <v>41</v>
      </c>
      <c r="B25" s="236">
        <f>'Other input data'!D34</f>
        <v>3.9250000000000003</v>
      </c>
      <c r="C25" s="236">
        <f>'Other input data'!F$26</f>
        <v>0.38910505836575876</v>
      </c>
      <c r="D25" s="236">
        <f t="shared" si="0"/>
        <v>5.4522373540856037</v>
      </c>
      <c r="E25" s="236">
        <v>1</v>
      </c>
      <c r="F25" s="409">
        <f>'Other input data'!F$22</f>
        <v>0.47</v>
      </c>
      <c r="G25" s="236">
        <v>1</v>
      </c>
      <c r="H25" s="236">
        <f t="shared" si="3"/>
        <v>3.9250000000000003</v>
      </c>
      <c r="I25" s="236">
        <f t="shared" si="1"/>
        <v>0.38910505836575876</v>
      </c>
      <c r="J25" s="127">
        <f t="shared" si="2"/>
        <v>0.47</v>
      </c>
      <c r="K25" s="236">
        <v>1</v>
      </c>
    </row>
    <row r="26" spans="1:11" x14ac:dyDescent="0.35">
      <c r="A26" s="145" t="s">
        <v>42</v>
      </c>
      <c r="B26" s="236">
        <f>'Other input data'!D35</f>
        <v>11.099999999999998</v>
      </c>
      <c r="C26" s="236">
        <f>'Other input data'!F$26</f>
        <v>0.38910505836575876</v>
      </c>
      <c r="D26" s="236">
        <f t="shared" si="0"/>
        <v>15.419066147859919</v>
      </c>
      <c r="E26" s="236">
        <v>1</v>
      </c>
      <c r="F26" s="409">
        <f>'Other input data'!F$22</f>
        <v>0.47</v>
      </c>
      <c r="G26" s="236">
        <v>1</v>
      </c>
      <c r="H26" s="236">
        <f t="shared" si="3"/>
        <v>11.099999999999998</v>
      </c>
      <c r="I26" s="236">
        <f t="shared" si="1"/>
        <v>0.38910505836575876</v>
      </c>
      <c r="J26" s="127">
        <f t="shared" si="2"/>
        <v>0.47</v>
      </c>
      <c r="K26" s="236">
        <v>1</v>
      </c>
    </row>
    <row r="27" spans="1:11" ht="20" x14ac:dyDescent="0.35">
      <c r="A27" s="149" t="s">
        <v>43</v>
      </c>
      <c r="B27" s="249">
        <f>'Other input data'!D36</f>
        <v>12.541666666666666</v>
      </c>
      <c r="C27" s="249">
        <f>'Other input data'!F$26</f>
        <v>0.38910505836575876</v>
      </c>
      <c r="D27" s="249">
        <f t="shared" si="0"/>
        <v>17.421692607003891</v>
      </c>
      <c r="E27" s="249">
        <v>1</v>
      </c>
      <c r="F27" s="410">
        <f>'Other input data'!F$22</f>
        <v>0.47</v>
      </c>
      <c r="G27" s="249">
        <v>1</v>
      </c>
      <c r="H27" s="249">
        <f t="shared" si="3"/>
        <v>12.541666666666666</v>
      </c>
      <c r="I27" s="249">
        <f t="shared" si="1"/>
        <v>0.38910505836575876</v>
      </c>
      <c r="J27" s="150">
        <f t="shared" si="2"/>
        <v>0.47</v>
      </c>
      <c r="K27" s="249">
        <v>1</v>
      </c>
    </row>
    <row r="28" spans="1:11" x14ac:dyDescent="0.35">
      <c r="A28" s="145" t="s">
        <v>44</v>
      </c>
      <c r="B28" s="236">
        <f>'Other input data'!E33</f>
        <v>2.0466666666666664</v>
      </c>
      <c r="C28" s="236">
        <f>'Other input data'!F$27</f>
        <v>2.35</v>
      </c>
      <c r="D28" s="236">
        <f t="shared" si="0"/>
        <v>6.8563333333333327</v>
      </c>
      <c r="E28" s="236">
        <v>1</v>
      </c>
      <c r="F28" s="409">
        <f>'Other input data'!F$22</f>
        <v>0.47</v>
      </c>
      <c r="G28" s="236">
        <v>1</v>
      </c>
      <c r="H28" s="236">
        <f t="shared" si="3"/>
        <v>2.0466666666666664</v>
      </c>
      <c r="I28" s="236">
        <f t="shared" si="1"/>
        <v>2.35</v>
      </c>
      <c r="J28" s="127">
        <f t="shared" si="2"/>
        <v>0.47</v>
      </c>
      <c r="K28" s="236">
        <v>1</v>
      </c>
    </row>
    <row r="29" spans="1:11" x14ac:dyDescent="0.35">
      <c r="A29" s="145" t="s">
        <v>45</v>
      </c>
      <c r="B29" s="236">
        <f>'Other input data'!E34</f>
        <v>8.27</v>
      </c>
      <c r="C29" s="236">
        <f>'Other input data'!F$27</f>
        <v>2.35</v>
      </c>
      <c r="D29" s="236">
        <f t="shared" si="0"/>
        <v>27.704499999999999</v>
      </c>
      <c r="E29" s="236">
        <v>1</v>
      </c>
      <c r="F29" s="409">
        <f>'Other input data'!F$22</f>
        <v>0.47</v>
      </c>
      <c r="G29" s="236">
        <v>1</v>
      </c>
      <c r="H29" s="236">
        <f t="shared" si="3"/>
        <v>8.27</v>
      </c>
      <c r="I29" s="236">
        <f t="shared" si="1"/>
        <v>2.35</v>
      </c>
      <c r="J29" s="127">
        <f t="shared" si="2"/>
        <v>0.47</v>
      </c>
      <c r="K29" s="236">
        <v>1</v>
      </c>
    </row>
    <row r="30" spans="1:11" x14ac:dyDescent="0.35">
      <c r="A30" s="145" t="s">
        <v>46</v>
      </c>
      <c r="B30" s="236">
        <f>'Other input data'!E35</f>
        <v>10.926666666666668</v>
      </c>
      <c r="C30" s="236">
        <f>'Other input data'!F$27</f>
        <v>2.35</v>
      </c>
      <c r="D30" s="236">
        <f t="shared" si="0"/>
        <v>36.604333333333336</v>
      </c>
      <c r="E30" s="236">
        <v>1</v>
      </c>
      <c r="F30" s="409">
        <f>'Other input data'!F$22</f>
        <v>0.47</v>
      </c>
      <c r="G30" s="236">
        <v>1</v>
      </c>
      <c r="H30" s="236">
        <f t="shared" si="3"/>
        <v>10.926666666666668</v>
      </c>
      <c r="I30" s="236">
        <f t="shared" si="1"/>
        <v>2.35</v>
      </c>
      <c r="J30" s="127">
        <f t="shared" si="2"/>
        <v>0.47</v>
      </c>
      <c r="K30" s="236">
        <v>1</v>
      </c>
    </row>
    <row r="31" spans="1:11" ht="20" x14ac:dyDescent="0.35">
      <c r="A31" s="149" t="s">
        <v>47</v>
      </c>
      <c r="B31" s="249">
        <f>'Other input data'!E36</f>
        <v>11.617000000000001</v>
      </c>
      <c r="C31" s="249">
        <f>'Other input data'!F$27</f>
        <v>2.35</v>
      </c>
      <c r="D31" s="249">
        <f t="shared" si="0"/>
        <v>38.916950000000007</v>
      </c>
      <c r="E31" s="249">
        <v>1</v>
      </c>
      <c r="F31" s="410">
        <f>'Other input data'!F$22</f>
        <v>0.47</v>
      </c>
      <c r="G31" s="249">
        <v>1</v>
      </c>
      <c r="H31" s="249">
        <f t="shared" si="3"/>
        <v>11.617000000000001</v>
      </c>
      <c r="I31" s="249">
        <f t="shared" si="1"/>
        <v>2.35</v>
      </c>
      <c r="J31" s="150">
        <f t="shared" si="2"/>
        <v>0.47</v>
      </c>
      <c r="K31" s="249">
        <v>1</v>
      </c>
    </row>
    <row r="32" spans="1:11" x14ac:dyDescent="0.35">
      <c r="A32" s="146" t="s">
        <v>48</v>
      </c>
      <c r="B32" s="236">
        <f>'Other input data'!F33</f>
        <v>0</v>
      </c>
      <c r="C32" s="236">
        <f>'Other input data'!F$28</f>
        <v>0.51533742331288346</v>
      </c>
      <c r="D32" s="236">
        <f t="shared" si="0"/>
        <v>0</v>
      </c>
      <c r="E32" s="236">
        <v>1</v>
      </c>
      <c r="F32" s="409">
        <f>'Other input data'!F$22</f>
        <v>0.47</v>
      </c>
      <c r="G32" s="236">
        <v>1</v>
      </c>
      <c r="H32" s="236">
        <f t="shared" si="3"/>
        <v>0</v>
      </c>
      <c r="I32" s="236">
        <f t="shared" si="1"/>
        <v>0.51533742331288346</v>
      </c>
      <c r="J32" s="127">
        <f t="shared" si="2"/>
        <v>0.47</v>
      </c>
      <c r="K32" s="236">
        <v>1</v>
      </c>
    </row>
    <row r="33" spans="1:11" x14ac:dyDescent="0.35">
      <c r="A33" s="146" t="s">
        <v>49</v>
      </c>
      <c r="B33" s="236">
        <f>'Other input data'!F34</f>
        <v>9.9333333333333336</v>
      </c>
      <c r="C33" s="236">
        <f>'Other input data'!F$28</f>
        <v>0.51533742331288346</v>
      </c>
      <c r="D33" s="236">
        <f t="shared" si="0"/>
        <v>15.05235173824131</v>
      </c>
      <c r="E33" s="236">
        <v>1</v>
      </c>
      <c r="F33" s="409">
        <f>'Other input data'!F$22</f>
        <v>0.47</v>
      </c>
      <c r="G33" s="236">
        <v>1</v>
      </c>
      <c r="H33" s="236">
        <f t="shared" si="3"/>
        <v>9.9333333333333336</v>
      </c>
      <c r="I33" s="236">
        <f t="shared" si="1"/>
        <v>0.51533742331288346</v>
      </c>
      <c r="J33" s="127">
        <f t="shared" si="2"/>
        <v>0.47</v>
      </c>
      <c r="K33" s="236">
        <v>1</v>
      </c>
    </row>
    <row r="34" spans="1:11" x14ac:dyDescent="0.35">
      <c r="A34" s="146" t="s">
        <v>50</v>
      </c>
      <c r="B34" s="236">
        <f>'Other input data'!F35</f>
        <v>14.700000000000001</v>
      </c>
      <c r="C34" s="236">
        <f>'Other input data'!F$28</f>
        <v>0.51533742331288346</v>
      </c>
      <c r="D34" s="236">
        <f t="shared" si="0"/>
        <v>22.275460122699389</v>
      </c>
      <c r="E34" s="236">
        <v>1</v>
      </c>
      <c r="F34" s="409">
        <f>'Other input data'!F$22</f>
        <v>0.47</v>
      </c>
      <c r="G34" s="236">
        <v>1</v>
      </c>
      <c r="H34" s="236">
        <f t="shared" si="3"/>
        <v>14.700000000000001</v>
      </c>
      <c r="I34" s="236">
        <f t="shared" si="1"/>
        <v>0.51533742331288346</v>
      </c>
      <c r="J34" s="127">
        <f t="shared" si="2"/>
        <v>0.47</v>
      </c>
      <c r="K34" s="236">
        <v>1</v>
      </c>
    </row>
    <row r="35" spans="1:11" x14ac:dyDescent="0.35">
      <c r="A35" s="146" t="s">
        <v>51</v>
      </c>
      <c r="B35" s="236">
        <f>'Other input data'!F36</f>
        <v>15.733333333333334</v>
      </c>
      <c r="C35" s="236">
        <f>'Other input data'!F$28</f>
        <v>0.51533742331288346</v>
      </c>
      <c r="D35" s="236">
        <f t="shared" si="0"/>
        <v>23.841308793456037</v>
      </c>
      <c r="E35" s="236">
        <v>1</v>
      </c>
      <c r="F35" s="409">
        <f>'Other input data'!F$22</f>
        <v>0.47</v>
      </c>
      <c r="G35" s="236">
        <v>1</v>
      </c>
      <c r="H35" s="236">
        <f t="shared" si="3"/>
        <v>15.733333333333334</v>
      </c>
      <c r="I35" s="236">
        <f t="shared" si="1"/>
        <v>0.51533742331288346</v>
      </c>
      <c r="J35" s="127">
        <f t="shared" si="2"/>
        <v>0.47</v>
      </c>
      <c r="K35" s="236">
        <v>1</v>
      </c>
    </row>
    <row r="36" spans="1:11" ht="20" x14ac:dyDescent="0.35">
      <c r="A36" s="151" t="s">
        <v>52</v>
      </c>
      <c r="B36" s="249">
        <f>'Other input data'!F37</f>
        <v>16.3</v>
      </c>
      <c r="C36" s="249">
        <f>'Other input data'!F$28</f>
        <v>0.51533742331288346</v>
      </c>
      <c r="D36" s="249">
        <f t="shared" si="0"/>
        <v>24.700000000000003</v>
      </c>
      <c r="E36" s="249">
        <v>1</v>
      </c>
      <c r="F36" s="410">
        <f>'Other input data'!F$22</f>
        <v>0.47</v>
      </c>
      <c r="G36" s="249">
        <v>1</v>
      </c>
      <c r="H36" s="249">
        <f t="shared" si="3"/>
        <v>16.3</v>
      </c>
      <c r="I36" s="249">
        <f t="shared" si="1"/>
        <v>0.51533742331288346</v>
      </c>
      <c r="J36" s="150">
        <f t="shared" si="2"/>
        <v>0.47</v>
      </c>
      <c r="K36" s="249">
        <v>1</v>
      </c>
    </row>
    <row r="37" spans="1:11" x14ac:dyDescent="0.35">
      <c r="B37" s="13"/>
      <c r="C37" s="127"/>
      <c r="D37" s="127"/>
      <c r="E37" s="127"/>
      <c r="F37" s="127"/>
      <c r="G37" s="127"/>
      <c r="H37" s="13"/>
    </row>
    <row r="38" spans="1:11" x14ac:dyDescent="0.35">
      <c r="B38" s="13"/>
      <c r="C38" s="127"/>
      <c r="D38" s="127"/>
      <c r="E38" s="127"/>
      <c r="F38" s="127"/>
      <c r="G38" s="127"/>
      <c r="H38" s="13"/>
    </row>
    <row r="39" spans="1:11" x14ac:dyDescent="0.35">
      <c r="B39" s="13"/>
      <c r="C39" s="127"/>
      <c r="D39" s="127"/>
      <c r="E39" s="127"/>
      <c r="F39" s="127"/>
      <c r="G39" s="127"/>
      <c r="H39" s="13"/>
    </row>
    <row r="40" spans="1:11" x14ac:dyDescent="0.35">
      <c r="B40" s="13"/>
      <c r="C40" s="13"/>
      <c r="D40" s="13"/>
      <c r="E40" s="13"/>
      <c r="F40" s="13"/>
      <c r="G40" s="13"/>
      <c r="H40" s="13"/>
    </row>
    <row r="41" spans="1:11" x14ac:dyDescent="0.35">
      <c r="B41" s="13"/>
      <c r="C41" s="13"/>
      <c r="D41" s="13"/>
      <c r="E41" s="13"/>
      <c r="F41" s="13"/>
      <c r="G41" s="13"/>
      <c r="H41" s="13"/>
    </row>
    <row r="42" spans="1:11" x14ac:dyDescent="0.35">
      <c r="B42" s="13"/>
      <c r="C42" s="13"/>
      <c r="D42" s="13"/>
      <c r="E42" s="13"/>
      <c r="F42" s="13"/>
      <c r="G42" s="13"/>
      <c r="H42" s="13"/>
    </row>
  </sheetData>
  <mergeCells count="16">
    <mergeCell ref="A14:C14"/>
    <mergeCell ref="A15:F15"/>
    <mergeCell ref="A7:B7"/>
    <mergeCell ref="C7:F7"/>
    <mergeCell ref="A8:B8"/>
    <mergeCell ref="D8:F8"/>
    <mergeCell ref="A9:B9"/>
    <mergeCell ref="C9:C12"/>
    <mergeCell ref="A10:A12"/>
    <mergeCell ref="B10:B12"/>
    <mergeCell ref="A4:B4"/>
    <mergeCell ref="C4:F4"/>
    <mergeCell ref="A5:B5"/>
    <mergeCell ref="C5:F5"/>
    <mergeCell ref="A6:B6"/>
    <mergeCell ref="C6:F6"/>
  </mergeCells>
  <pageMargins left="1.25" right="1.25" top="1" bottom="1" header="0.25" footer="0.25"/>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6"/>
  <sheetViews>
    <sheetView topLeftCell="A7" workbookViewId="0">
      <selection activeCell="A19" sqref="A19:K19"/>
    </sheetView>
  </sheetViews>
  <sheetFormatPr defaultRowHeight="14.5" x14ac:dyDescent="0.35"/>
  <cols>
    <col min="1" max="2" width="14.81640625" customWidth="1"/>
    <col min="3" max="3" width="24.81640625" customWidth="1"/>
    <col min="4" max="4" width="31.1796875" customWidth="1"/>
    <col min="5" max="5" width="48.1796875" customWidth="1"/>
    <col min="6" max="6" width="36.81640625" customWidth="1"/>
  </cols>
  <sheetData>
    <row r="1" spans="1:6" x14ac:dyDescent="0.35">
      <c r="A1" s="393" t="s">
        <v>716</v>
      </c>
    </row>
    <row r="2" spans="1:6" x14ac:dyDescent="0.35">
      <c r="A2" s="393" t="s">
        <v>717</v>
      </c>
    </row>
    <row r="3" spans="1:6" x14ac:dyDescent="0.35">
      <c r="A3" s="1"/>
    </row>
    <row r="4" spans="1:6" ht="11.5" customHeight="1" x14ac:dyDescent="0.35">
      <c r="A4" s="307" t="s">
        <v>233</v>
      </c>
      <c r="B4" s="307"/>
      <c r="C4" s="307" t="s">
        <v>234</v>
      </c>
      <c r="D4" s="307"/>
      <c r="E4" s="307"/>
      <c r="F4" s="307"/>
    </row>
    <row r="5" spans="1:6" ht="11.5" customHeight="1" x14ac:dyDescent="0.35">
      <c r="A5" s="307" t="s">
        <v>235</v>
      </c>
      <c r="B5" s="307"/>
      <c r="C5" s="307" t="s">
        <v>236</v>
      </c>
      <c r="D5" s="307"/>
      <c r="E5" s="307"/>
      <c r="F5" s="307"/>
    </row>
    <row r="6" spans="1:6" ht="11.25" customHeight="1" x14ac:dyDescent="0.35">
      <c r="A6" s="307" t="s">
        <v>237</v>
      </c>
      <c r="B6" s="307"/>
      <c r="C6" s="307" t="s">
        <v>238</v>
      </c>
      <c r="D6" s="307"/>
      <c r="E6" s="307"/>
      <c r="F6" s="307"/>
    </row>
    <row r="7" spans="1:6" ht="11.5" customHeight="1" x14ac:dyDescent="0.35">
      <c r="A7" s="307" t="s">
        <v>239</v>
      </c>
      <c r="B7" s="307"/>
      <c r="C7" s="307" t="s">
        <v>240</v>
      </c>
      <c r="D7" s="307"/>
      <c r="E7" s="307"/>
      <c r="F7" s="307"/>
    </row>
    <row r="8" spans="1:6" ht="60.65" customHeight="1" x14ac:dyDescent="0.35">
      <c r="A8" s="307" t="s">
        <v>241</v>
      </c>
      <c r="B8" s="307"/>
      <c r="C8" s="284" t="s">
        <v>242</v>
      </c>
      <c r="D8" s="308" t="s">
        <v>243</v>
      </c>
      <c r="E8" s="309"/>
      <c r="F8" s="309"/>
    </row>
    <row r="9" spans="1:6" ht="25.5" thickBot="1" x14ac:dyDescent="0.4">
      <c r="A9" s="307" t="s">
        <v>244</v>
      </c>
      <c r="B9" s="307"/>
      <c r="C9" s="310" t="s">
        <v>245</v>
      </c>
      <c r="D9" s="285" t="s">
        <v>246</v>
      </c>
      <c r="E9" s="285" t="s">
        <v>247</v>
      </c>
      <c r="F9" s="285" t="s">
        <v>248</v>
      </c>
    </row>
    <row r="10" spans="1:6" ht="16" customHeight="1" thickTop="1" thickBot="1" x14ac:dyDescent="0.4">
      <c r="A10" s="310" t="s">
        <v>249</v>
      </c>
      <c r="B10" s="310" t="s">
        <v>250</v>
      </c>
      <c r="C10" s="310"/>
      <c r="D10" s="286" t="s">
        <v>251</v>
      </c>
      <c r="E10" s="286" t="s">
        <v>251</v>
      </c>
      <c r="F10" s="286" t="s">
        <v>251</v>
      </c>
    </row>
    <row r="11" spans="1:6" ht="15.5" thickTop="1" thickBot="1" x14ac:dyDescent="0.4">
      <c r="A11" s="310"/>
      <c r="B11" s="310"/>
      <c r="C11" s="310"/>
      <c r="D11" s="286" t="s">
        <v>252</v>
      </c>
      <c r="E11" s="286" t="s">
        <v>252</v>
      </c>
      <c r="F11" s="286" t="s">
        <v>253</v>
      </c>
    </row>
    <row r="12" spans="1:6" ht="96" customHeight="1" thickTop="1" thickBot="1" x14ac:dyDescent="0.4">
      <c r="A12" s="310"/>
      <c r="B12" s="310"/>
      <c r="C12" s="310"/>
      <c r="D12" s="287" t="s">
        <v>254</v>
      </c>
      <c r="E12" s="287" t="s">
        <v>255</v>
      </c>
      <c r="F12" s="141" t="s">
        <v>256</v>
      </c>
    </row>
    <row r="13" spans="1:6" ht="15" thickTop="1" x14ac:dyDescent="0.35">
      <c r="A13" s="311" t="s">
        <v>257</v>
      </c>
      <c r="B13" s="311" t="s">
        <v>257</v>
      </c>
      <c r="C13" s="237"/>
      <c r="D13" s="19"/>
      <c r="E13" s="19"/>
      <c r="F13" s="19"/>
    </row>
    <row r="14" spans="1:6" ht="15" customHeight="1" x14ac:dyDescent="0.35">
      <c r="A14" s="307" t="s">
        <v>258</v>
      </c>
      <c r="B14" s="307"/>
      <c r="C14" s="307"/>
      <c r="D14" s="270"/>
      <c r="E14" s="270"/>
      <c r="F14" s="270"/>
    </row>
    <row r="15" spans="1:6" ht="64" customHeight="1" x14ac:dyDescent="0.35">
      <c r="A15" s="312" t="s">
        <v>259</v>
      </c>
      <c r="B15" s="312"/>
      <c r="C15" s="312"/>
      <c r="D15" s="312"/>
      <c r="E15" s="312"/>
      <c r="F15" s="312"/>
    </row>
    <row r="19" spans="1:11" ht="14.5" customHeight="1" x14ac:dyDescent="0.35">
      <c r="A19" s="106" t="s">
        <v>714</v>
      </c>
      <c r="B19" s="414" t="s">
        <v>710</v>
      </c>
      <c r="C19" s="414" t="s">
        <v>98</v>
      </c>
      <c r="D19" s="414" t="s">
        <v>711</v>
      </c>
      <c r="E19" s="414" t="s">
        <v>99</v>
      </c>
      <c r="F19" s="414" t="s">
        <v>100</v>
      </c>
      <c r="G19" s="474" t="s">
        <v>712</v>
      </c>
      <c r="H19" s="414" t="s">
        <v>713</v>
      </c>
      <c r="I19" s="414" t="s">
        <v>98</v>
      </c>
      <c r="J19" s="414" t="s">
        <v>100</v>
      </c>
      <c r="K19" s="414" t="s">
        <v>102</v>
      </c>
    </row>
    <row r="20" spans="1:11" x14ac:dyDescent="0.35">
      <c r="B20" s="136" t="s">
        <v>105</v>
      </c>
      <c r="C20" s="136" t="s">
        <v>106</v>
      </c>
      <c r="D20" s="136" t="s">
        <v>105</v>
      </c>
      <c r="E20" s="136" t="s">
        <v>107</v>
      </c>
      <c r="F20" s="136" t="s">
        <v>106</v>
      </c>
      <c r="G20" s="417" t="s">
        <v>109</v>
      </c>
      <c r="H20" s="136" t="s">
        <v>110</v>
      </c>
      <c r="I20" s="136" t="s">
        <v>106</v>
      </c>
      <c r="J20" s="136" t="s">
        <v>106</v>
      </c>
      <c r="K20" s="136" t="s">
        <v>106</v>
      </c>
    </row>
    <row r="21" spans="1:11" x14ac:dyDescent="0.35">
      <c r="A21" s="353" t="s">
        <v>26</v>
      </c>
      <c r="B21" s="248">
        <f>'Other input data'!$G$43</f>
        <v>0.7</v>
      </c>
      <c r="C21" s="248">
        <f>1/'Other input data'!F$25</f>
        <v>0.12698412698412698</v>
      </c>
      <c r="D21" s="248">
        <f>B21*(1+C21)</f>
        <v>0.78888888888888886</v>
      </c>
      <c r="E21" s="248">
        <v>1</v>
      </c>
      <c r="F21" s="248">
        <f>'Other input data'!F$20</f>
        <v>0.5</v>
      </c>
      <c r="G21" s="420">
        <v>0</v>
      </c>
      <c r="H21" s="248">
        <v>0</v>
      </c>
      <c r="I21" s="248">
        <f>C21</f>
        <v>0.12698412698412698</v>
      </c>
      <c r="J21" s="248">
        <f>F21</f>
        <v>0.5</v>
      </c>
      <c r="K21" s="248">
        <v>1</v>
      </c>
    </row>
    <row r="22" spans="1:11" x14ac:dyDescent="0.35">
      <c r="A22" s="145" t="s">
        <v>28</v>
      </c>
      <c r="B22" s="236">
        <f>'Other input data'!$G$62</f>
        <v>1.5</v>
      </c>
      <c r="C22" s="236">
        <f>'Other input data'!F$26</f>
        <v>0.38910505836575876</v>
      </c>
      <c r="D22" s="236">
        <f>B22*(1+C22)</f>
        <v>2.0836575875486378</v>
      </c>
      <c r="E22" s="236">
        <v>1</v>
      </c>
      <c r="F22" s="236">
        <f>'Other input data'!F$22</f>
        <v>0.47</v>
      </c>
      <c r="G22" s="418">
        <v>0</v>
      </c>
      <c r="H22" s="236">
        <f>B22</f>
        <v>1.5</v>
      </c>
      <c r="I22" s="236">
        <f>C22</f>
        <v>0.38910505836575876</v>
      </c>
      <c r="J22" s="236">
        <f>F22</f>
        <v>0.47</v>
      </c>
      <c r="K22" s="236">
        <v>1</v>
      </c>
    </row>
    <row r="23" spans="1:11" x14ac:dyDescent="0.35">
      <c r="A23" s="145" t="s">
        <v>661</v>
      </c>
      <c r="B23" s="236">
        <f>'Other input data'!$G$63</f>
        <v>1.7066874999999999</v>
      </c>
      <c r="C23" s="236">
        <f>'Other input data'!F$27</f>
        <v>2.35</v>
      </c>
      <c r="D23" s="236">
        <f>B23*(1+C23)</f>
        <v>5.7174031249999997</v>
      </c>
      <c r="E23" s="236">
        <v>1</v>
      </c>
      <c r="F23" s="236">
        <f>'Other input data'!F$22</f>
        <v>0.47</v>
      </c>
      <c r="G23" s="418">
        <v>0</v>
      </c>
      <c r="H23" s="236">
        <f>B23</f>
        <v>1.7066874999999999</v>
      </c>
      <c r="I23" s="236">
        <f>C23</f>
        <v>2.35</v>
      </c>
      <c r="J23" s="236">
        <f>F23</f>
        <v>0.47</v>
      </c>
      <c r="K23" s="236">
        <v>1</v>
      </c>
    </row>
    <row r="24" spans="1:11" x14ac:dyDescent="0.35">
      <c r="A24" s="145" t="s">
        <v>662</v>
      </c>
      <c r="B24" s="236">
        <f>'Other input data'!$G$63</f>
        <v>1.7066874999999999</v>
      </c>
      <c r="C24" s="236">
        <f>'Other input data'!F$27</f>
        <v>2.35</v>
      </c>
      <c r="D24" s="236">
        <f>B24*(1+C24)*0.065</f>
        <v>0.37163120312499998</v>
      </c>
      <c r="E24" s="236">
        <v>1</v>
      </c>
      <c r="F24" s="236">
        <f>'Other input data'!F$22</f>
        <v>0.47</v>
      </c>
      <c r="G24" s="418">
        <v>0</v>
      </c>
      <c r="H24" s="236">
        <f>B24</f>
        <v>1.7066874999999999</v>
      </c>
      <c r="I24" s="236">
        <f>C24</f>
        <v>2.35</v>
      </c>
      <c r="J24" s="236">
        <f>F24</f>
        <v>0.47</v>
      </c>
      <c r="K24" s="236">
        <v>1</v>
      </c>
    </row>
    <row r="25" spans="1:11" x14ac:dyDescent="0.35">
      <c r="A25" s="151" t="s">
        <v>30</v>
      </c>
      <c r="B25" s="249">
        <f>'Other input data'!$G$64</f>
        <v>0.52500000000000002</v>
      </c>
      <c r="C25" s="249">
        <f>'Other input data'!F$28</f>
        <v>0.51533742331288346</v>
      </c>
      <c r="D25" s="249">
        <f>B25*(1+C25)</f>
        <v>0.79555214723926393</v>
      </c>
      <c r="E25" s="249">
        <v>1</v>
      </c>
      <c r="F25" s="249">
        <f>'Other input data'!F$22</f>
        <v>0.47</v>
      </c>
      <c r="G25" s="419">
        <v>0</v>
      </c>
      <c r="H25" s="249">
        <f>B25</f>
        <v>0.52500000000000002</v>
      </c>
      <c r="I25" s="249">
        <f>C25</f>
        <v>0.51533742331288346</v>
      </c>
      <c r="J25" s="249">
        <f>F25</f>
        <v>0.47</v>
      </c>
      <c r="K25" s="249">
        <v>1</v>
      </c>
    </row>
    <row r="36" spans="2:8" x14ac:dyDescent="0.35">
      <c r="B36" s="13"/>
      <c r="C36" s="13"/>
      <c r="D36" s="128"/>
      <c r="E36" s="128"/>
      <c r="F36" s="128"/>
      <c r="G36" s="13"/>
      <c r="H36" s="13"/>
    </row>
    <row r="37" spans="2:8" x14ac:dyDescent="0.35">
      <c r="B37" s="13"/>
      <c r="C37" s="13"/>
      <c r="D37" s="128"/>
      <c r="E37" s="128"/>
      <c r="F37" s="128"/>
      <c r="G37" s="13"/>
      <c r="H37" s="13"/>
    </row>
    <row r="38" spans="2:8" x14ac:dyDescent="0.35">
      <c r="B38" s="13"/>
      <c r="C38" s="13"/>
      <c r="D38" s="128"/>
      <c r="E38" s="128"/>
      <c r="F38" s="128"/>
      <c r="G38" s="13"/>
      <c r="H38" s="13"/>
    </row>
    <row r="39" spans="2:8" x14ac:dyDescent="0.35">
      <c r="B39" s="13"/>
      <c r="C39" s="13"/>
      <c r="D39" s="13"/>
      <c r="E39" s="13"/>
      <c r="F39" s="13"/>
      <c r="G39" s="13"/>
      <c r="H39" s="13"/>
    </row>
    <row r="40" spans="2:8" x14ac:dyDescent="0.35">
      <c r="B40" s="13"/>
      <c r="C40" s="13"/>
      <c r="D40" s="13"/>
      <c r="E40" s="13"/>
      <c r="F40" s="127"/>
      <c r="G40" s="13"/>
      <c r="H40" s="13"/>
    </row>
    <row r="41" spans="2:8" x14ac:dyDescent="0.35">
      <c r="B41" s="13"/>
      <c r="C41" s="127"/>
      <c r="D41" s="127"/>
      <c r="E41" s="127"/>
      <c r="F41" s="127"/>
      <c r="G41" s="127"/>
      <c r="H41" s="13"/>
    </row>
    <row r="42" spans="2:8" x14ac:dyDescent="0.35">
      <c r="B42" s="13"/>
      <c r="C42" s="127"/>
      <c r="D42" s="127"/>
      <c r="E42" s="127"/>
      <c r="F42" s="127"/>
      <c r="G42" s="127"/>
      <c r="H42" s="13"/>
    </row>
    <row r="43" spans="2:8" x14ac:dyDescent="0.35">
      <c r="B43" s="13"/>
      <c r="C43" s="127"/>
      <c r="D43" s="127"/>
      <c r="E43" s="127"/>
      <c r="F43" s="127"/>
      <c r="G43" s="127"/>
      <c r="H43" s="13"/>
    </row>
    <row r="44" spans="2:8" x14ac:dyDescent="0.35">
      <c r="B44" s="13"/>
      <c r="C44" s="13"/>
      <c r="D44" s="13"/>
      <c r="E44" s="13"/>
      <c r="F44" s="13"/>
      <c r="G44" s="13"/>
      <c r="H44" s="13"/>
    </row>
    <row r="45" spans="2:8" x14ac:dyDescent="0.35">
      <c r="B45" s="13"/>
      <c r="C45" s="13"/>
      <c r="D45" s="13"/>
      <c r="E45" s="13"/>
      <c r="F45" s="13"/>
      <c r="G45" s="13"/>
      <c r="H45" s="13"/>
    </row>
    <row r="46" spans="2:8" x14ac:dyDescent="0.35">
      <c r="B46" s="13"/>
      <c r="C46" s="13"/>
      <c r="D46" s="13"/>
      <c r="E46" s="13"/>
      <c r="F46" s="13"/>
      <c r="G46" s="13"/>
      <c r="H46" s="13"/>
    </row>
  </sheetData>
  <pageMargins left="1.25" right="1.25" top="1" bottom="1" header="0.25" footer="0.25"/>
  <pageSetup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55"/>
  <sheetViews>
    <sheetView topLeftCell="A34" workbookViewId="0">
      <selection activeCell="K53" sqref="K53:K55"/>
    </sheetView>
  </sheetViews>
  <sheetFormatPr defaultRowHeight="14.5" x14ac:dyDescent="0.35"/>
  <cols>
    <col min="1" max="2" width="14.1796875" customWidth="1"/>
    <col min="3" max="3" width="13.54296875" customWidth="1"/>
    <col min="4" max="7" width="24.54296875" customWidth="1"/>
  </cols>
  <sheetData>
    <row r="1" spans="1:8" x14ac:dyDescent="0.35">
      <c r="A1" s="393" t="s">
        <v>724</v>
      </c>
      <c r="B1" s="13"/>
      <c r="C1" s="13"/>
      <c r="D1" s="13"/>
      <c r="E1" s="13"/>
      <c r="F1" s="13"/>
      <c r="G1" s="13"/>
      <c r="H1" s="13"/>
    </row>
    <row r="2" spans="1:8" x14ac:dyDescent="0.35">
      <c r="A2" s="393" t="s">
        <v>748</v>
      </c>
      <c r="B2" s="13"/>
      <c r="C2" s="13"/>
      <c r="D2" s="13"/>
      <c r="E2" s="13"/>
      <c r="F2" s="13"/>
      <c r="G2" s="13"/>
      <c r="H2" s="13"/>
    </row>
    <row r="3" spans="1:8" x14ac:dyDescent="0.35">
      <c r="A3" s="13"/>
      <c r="B3" s="13"/>
      <c r="C3" s="13"/>
      <c r="D3" s="13"/>
      <c r="E3" s="13"/>
      <c r="F3" s="13"/>
      <c r="G3" s="13"/>
      <c r="H3" s="13"/>
    </row>
    <row r="5" spans="1:8" x14ac:dyDescent="0.35">
      <c r="A5" s="291" t="s">
        <v>320</v>
      </c>
      <c r="B5" s="292"/>
      <c r="C5" s="292"/>
      <c r="D5" s="292"/>
      <c r="E5" s="292"/>
      <c r="F5" s="292"/>
      <c r="G5" s="292"/>
    </row>
    <row r="6" spans="1:8" x14ac:dyDescent="0.35">
      <c r="A6" s="539" t="s">
        <v>233</v>
      </c>
      <c r="B6" s="539"/>
      <c r="C6" s="552" t="s">
        <v>234</v>
      </c>
      <c r="D6" s="552"/>
      <c r="E6" s="552"/>
      <c r="F6" s="552"/>
      <c r="G6" s="552"/>
    </row>
    <row r="7" spans="1:8" x14ac:dyDescent="0.35">
      <c r="A7" s="539" t="s">
        <v>235</v>
      </c>
      <c r="B7" s="539"/>
      <c r="C7" s="552" t="s">
        <v>277</v>
      </c>
      <c r="D7" s="552"/>
      <c r="E7" s="552"/>
      <c r="F7" s="552"/>
      <c r="G7" s="552"/>
    </row>
    <row r="8" spans="1:8" x14ac:dyDescent="0.35">
      <c r="A8" s="539" t="s">
        <v>237</v>
      </c>
      <c r="B8" s="539"/>
      <c r="C8" s="552" t="s">
        <v>278</v>
      </c>
      <c r="D8" s="552"/>
      <c r="E8" s="552"/>
      <c r="F8" s="552"/>
      <c r="G8" s="552"/>
    </row>
    <row r="9" spans="1:8" x14ac:dyDescent="0.35">
      <c r="A9" s="539" t="s">
        <v>239</v>
      </c>
      <c r="B9" s="539"/>
      <c r="C9" s="552" t="s">
        <v>321</v>
      </c>
      <c r="D9" s="552"/>
      <c r="E9" s="552"/>
      <c r="F9" s="552"/>
      <c r="G9" s="552"/>
    </row>
    <row r="10" spans="1:8" x14ac:dyDescent="0.35">
      <c r="A10" s="539" t="s">
        <v>241</v>
      </c>
      <c r="B10" s="539"/>
      <c r="C10" s="289" t="s">
        <v>314</v>
      </c>
      <c r="D10" s="541" t="s">
        <v>280</v>
      </c>
      <c r="E10" s="541"/>
      <c r="F10" s="541"/>
      <c r="G10" s="541"/>
    </row>
    <row r="11" spans="1:8" ht="46.5" thickBot="1" x14ac:dyDescent="0.4">
      <c r="A11" s="553" t="s">
        <v>281</v>
      </c>
      <c r="B11" s="553"/>
      <c r="C11" s="554" t="s">
        <v>282</v>
      </c>
      <c r="D11" s="269" t="s">
        <v>322</v>
      </c>
      <c r="E11" s="269" t="s">
        <v>323</v>
      </c>
      <c r="F11" s="269" t="s">
        <v>324</v>
      </c>
      <c r="G11" s="293" t="s">
        <v>325</v>
      </c>
    </row>
    <row r="12" spans="1:8" ht="15.5" thickTop="1" thickBot="1" x14ac:dyDescent="0.4">
      <c r="A12" s="576" t="s">
        <v>289</v>
      </c>
      <c r="B12" s="576" t="s">
        <v>290</v>
      </c>
      <c r="C12" s="554"/>
      <c r="D12" s="271" t="s">
        <v>294</v>
      </c>
      <c r="E12" s="271" t="s">
        <v>294</v>
      </c>
      <c r="F12" s="271" t="s">
        <v>326</v>
      </c>
      <c r="G12" s="271" t="s">
        <v>327</v>
      </c>
    </row>
    <row r="13" spans="1:8" ht="24" thickTop="1" thickBot="1" x14ac:dyDescent="0.4">
      <c r="A13" s="576"/>
      <c r="B13" s="576"/>
      <c r="C13" s="554"/>
      <c r="D13" s="269" t="s">
        <v>328</v>
      </c>
      <c r="E13" s="271" t="s">
        <v>329</v>
      </c>
      <c r="F13" s="269" t="s">
        <v>330</v>
      </c>
      <c r="G13" s="286" t="s">
        <v>331</v>
      </c>
    </row>
    <row r="14" spans="1:8" ht="15.5" thickTop="1" thickBot="1" x14ac:dyDescent="0.4">
      <c r="A14" s="576"/>
      <c r="B14" s="576"/>
      <c r="C14" s="554"/>
      <c r="D14" s="266" t="s">
        <v>319</v>
      </c>
      <c r="E14" s="266" t="s">
        <v>303</v>
      </c>
      <c r="F14" s="272" t="s">
        <v>332</v>
      </c>
      <c r="G14" s="272" t="s">
        <v>333</v>
      </c>
    </row>
    <row r="15" spans="1:8" ht="15" thickTop="1" x14ac:dyDescent="0.35">
      <c r="A15" s="509" t="s">
        <v>304</v>
      </c>
      <c r="B15" s="509" t="s">
        <v>304</v>
      </c>
      <c r="C15" s="508"/>
      <c r="D15" s="508"/>
      <c r="E15" s="508"/>
      <c r="F15" s="508"/>
      <c r="G15" s="508"/>
    </row>
    <row r="16" spans="1:8" x14ac:dyDescent="0.35">
      <c r="A16" s="556" t="s">
        <v>258</v>
      </c>
      <c r="B16" s="556"/>
      <c r="C16" s="556"/>
      <c r="D16" s="137"/>
      <c r="E16" s="137"/>
      <c r="F16" s="137"/>
      <c r="G16" s="137"/>
    </row>
    <row r="19" spans="1:9" x14ac:dyDescent="0.35">
      <c r="A19" s="393" t="s">
        <v>724</v>
      </c>
      <c r="B19" s="13"/>
      <c r="C19" s="13"/>
      <c r="D19" s="13"/>
      <c r="E19" s="13"/>
      <c r="F19" s="13"/>
      <c r="G19" s="13"/>
      <c r="H19" s="13"/>
      <c r="I19" s="13"/>
    </row>
    <row r="20" spans="1:9" x14ac:dyDescent="0.35">
      <c r="A20" s="393" t="s">
        <v>725</v>
      </c>
      <c r="B20" s="13"/>
      <c r="C20" s="13"/>
      <c r="D20" s="13"/>
      <c r="E20" s="13"/>
      <c r="F20" s="13"/>
      <c r="G20" s="13"/>
      <c r="H20" s="13"/>
      <c r="I20" s="13"/>
    </row>
    <row r="21" spans="1:9" x14ac:dyDescent="0.35">
      <c r="A21" s="13"/>
      <c r="B21" s="13"/>
      <c r="C21" s="13"/>
      <c r="D21" s="13"/>
      <c r="E21" s="13"/>
      <c r="F21" s="13"/>
      <c r="G21" s="13"/>
      <c r="H21" s="13"/>
      <c r="I21" s="13"/>
    </row>
    <row r="22" spans="1:9" ht="15.5" x14ac:dyDescent="0.4">
      <c r="A22" s="16" t="s">
        <v>114</v>
      </c>
      <c r="B22" s="13"/>
      <c r="C22" s="13"/>
      <c r="D22" s="13"/>
      <c r="E22" s="13"/>
      <c r="F22" s="13"/>
      <c r="G22" s="13"/>
      <c r="H22" s="13"/>
      <c r="I22" s="13"/>
    </row>
    <row r="23" spans="1:9" ht="15.5" x14ac:dyDescent="0.4">
      <c r="A23" s="16" t="s">
        <v>115</v>
      </c>
      <c r="B23" s="13"/>
      <c r="C23" s="13"/>
      <c r="D23" s="13"/>
      <c r="E23" s="13"/>
      <c r="F23" s="13"/>
      <c r="G23" s="13"/>
      <c r="H23" s="13"/>
      <c r="I23" s="13"/>
    </row>
    <row r="24" spans="1:9" ht="14.5" customHeight="1" x14ac:dyDescent="0.35">
      <c r="A24" s="557" t="s">
        <v>233</v>
      </c>
      <c r="B24" s="558"/>
      <c r="C24" s="559" t="s">
        <v>234</v>
      </c>
      <c r="D24" s="560"/>
      <c r="E24" s="560"/>
      <c r="F24" s="560"/>
      <c r="G24" s="560"/>
      <c r="H24" s="560"/>
      <c r="I24" s="561"/>
    </row>
    <row r="25" spans="1:9" ht="14.5" customHeight="1" x14ac:dyDescent="0.35">
      <c r="A25" s="557" t="s">
        <v>235</v>
      </c>
      <c r="B25" s="558"/>
      <c r="C25" s="559" t="s">
        <v>277</v>
      </c>
      <c r="D25" s="560"/>
      <c r="E25" s="560"/>
      <c r="F25" s="560"/>
      <c r="G25" s="560"/>
      <c r="H25" s="560"/>
      <c r="I25" s="561"/>
    </row>
    <row r="26" spans="1:9" ht="14.5" customHeight="1" x14ac:dyDescent="0.35">
      <c r="A26" s="557" t="s">
        <v>237</v>
      </c>
      <c r="B26" s="558"/>
      <c r="C26" s="559" t="s">
        <v>278</v>
      </c>
      <c r="D26" s="560"/>
      <c r="E26" s="560"/>
      <c r="F26" s="560"/>
      <c r="G26" s="560"/>
      <c r="H26" s="560"/>
      <c r="I26" s="561"/>
    </row>
    <row r="27" spans="1:9" x14ac:dyDescent="0.35">
      <c r="A27" s="557" t="s">
        <v>239</v>
      </c>
      <c r="B27" s="558"/>
      <c r="C27" s="559" t="s">
        <v>279</v>
      </c>
      <c r="D27" s="560"/>
      <c r="E27" s="560"/>
      <c r="F27" s="560"/>
      <c r="G27" s="560"/>
      <c r="H27" s="560"/>
      <c r="I27" s="561"/>
    </row>
    <row r="28" spans="1:9" ht="14.5" customHeight="1" x14ac:dyDescent="0.35">
      <c r="A28" s="557" t="s">
        <v>241</v>
      </c>
      <c r="B28" s="558"/>
      <c r="C28" s="284" t="s">
        <v>242</v>
      </c>
      <c r="D28" s="562" t="s">
        <v>280</v>
      </c>
      <c r="E28" s="563"/>
      <c r="F28" s="563"/>
      <c r="G28" s="563"/>
      <c r="H28" s="563"/>
      <c r="I28" s="564"/>
    </row>
    <row r="29" spans="1:9" ht="115" x14ac:dyDescent="0.35">
      <c r="A29" s="565" t="s">
        <v>281</v>
      </c>
      <c r="B29" s="566"/>
      <c r="C29" s="567" t="s">
        <v>282</v>
      </c>
      <c r="D29" s="269" t="s">
        <v>283</v>
      </c>
      <c r="E29" s="269" t="s">
        <v>284</v>
      </c>
      <c r="F29" s="269" t="s">
        <v>285</v>
      </c>
      <c r="G29" s="269" t="s">
        <v>286</v>
      </c>
      <c r="H29" s="269" t="s">
        <v>287</v>
      </c>
      <c r="I29" s="269" t="s">
        <v>288</v>
      </c>
    </row>
    <row r="30" spans="1:9" ht="15.5" customHeight="1" x14ac:dyDescent="0.35">
      <c r="A30" s="570" t="s">
        <v>289</v>
      </c>
      <c r="B30" s="573" t="s">
        <v>290</v>
      </c>
      <c r="C30" s="568"/>
      <c r="D30" s="271" t="s">
        <v>291</v>
      </c>
      <c r="E30" s="271" t="s">
        <v>292</v>
      </c>
      <c r="F30" s="271" t="s">
        <v>293</v>
      </c>
      <c r="G30" s="271" t="s">
        <v>293</v>
      </c>
      <c r="H30" s="271" t="s">
        <v>293</v>
      </c>
      <c r="I30" s="271" t="s">
        <v>294</v>
      </c>
    </row>
    <row r="31" spans="1:9" ht="46" x14ac:dyDescent="0.35">
      <c r="A31" s="571"/>
      <c r="B31" s="574"/>
      <c r="C31" s="568"/>
      <c r="D31" s="288"/>
      <c r="E31" s="271" t="s">
        <v>295</v>
      </c>
      <c r="F31" s="271" t="s">
        <v>296</v>
      </c>
      <c r="G31" s="271" t="s">
        <v>296</v>
      </c>
      <c r="H31" s="271" t="s">
        <v>296</v>
      </c>
      <c r="I31" s="269" t="s">
        <v>297</v>
      </c>
    </row>
    <row r="32" spans="1:9" ht="15" thickBot="1" x14ac:dyDescent="0.4">
      <c r="A32" s="572"/>
      <c r="B32" s="575"/>
      <c r="C32" s="569"/>
      <c r="D32" s="272" t="s">
        <v>298</v>
      </c>
      <c r="E32" s="272" t="s">
        <v>299</v>
      </c>
      <c r="F32" s="272" t="s">
        <v>300</v>
      </c>
      <c r="G32" s="272" t="s">
        <v>301</v>
      </c>
      <c r="H32" s="272" t="s">
        <v>302</v>
      </c>
      <c r="I32" s="266" t="s">
        <v>303</v>
      </c>
    </row>
    <row r="33" spans="1:9" ht="15" thickTop="1" x14ac:dyDescent="0.35">
      <c r="A33" s="509" t="s">
        <v>304</v>
      </c>
      <c r="B33" s="509" t="s">
        <v>304</v>
      </c>
      <c r="C33" s="508"/>
      <c r="D33" s="508"/>
      <c r="E33" s="508"/>
      <c r="F33" s="508"/>
      <c r="G33" s="508"/>
      <c r="H33" s="508"/>
      <c r="I33" s="508"/>
    </row>
    <row r="34" spans="1:9" x14ac:dyDescent="0.35">
      <c r="A34" s="556" t="s">
        <v>258</v>
      </c>
      <c r="B34" s="556"/>
      <c r="C34" s="556"/>
      <c r="D34" s="137"/>
      <c r="E34" s="137"/>
      <c r="F34" s="137"/>
      <c r="G34" s="137"/>
      <c r="H34" s="137"/>
      <c r="I34" s="137"/>
    </row>
    <row r="37" spans="1:9" x14ac:dyDescent="0.35">
      <c r="A37" s="393" t="s">
        <v>746</v>
      </c>
      <c r="B37" s="13"/>
      <c r="C37" s="13"/>
      <c r="D37" s="13"/>
      <c r="E37" s="13"/>
      <c r="F37" s="13"/>
      <c r="G37" s="13"/>
      <c r="H37" s="13"/>
      <c r="I37" s="13"/>
    </row>
    <row r="38" spans="1:9" x14ac:dyDescent="0.35">
      <c r="A38" s="393" t="s">
        <v>747</v>
      </c>
      <c r="B38" s="13"/>
      <c r="C38" s="13"/>
      <c r="D38" s="13"/>
      <c r="E38" s="13"/>
      <c r="F38" s="13"/>
      <c r="G38" s="13"/>
      <c r="H38" s="13"/>
      <c r="I38" s="13"/>
    </row>
    <row r="39" spans="1:9" x14ac:dyDescent="0.35">
      <c r="A39" s="13"/>
      <c r="B39" s="13"/>
      <c r="C39" s="13"/>
      <c r="D39" s="13"/>
      <c r="E39" s="13"/>
      <c r="F39" s="13"/>
      <c r="G39" s="13"/>
      <c r="H39" s="13"/>
      <c r="I39" s="13"/>
    </row>
    <row r="40" spans="1:9" x14ac:dyDescent="0.35">
      <c r="A40" s="551" t="s">
        <v>233</v>
      </c>
      <c r="B40" s="551"/>
      <c r="C40" s="552" t="s">
        <v>234</v>
      </c>
      <c r="D40" s="552"/>
      <c r="E40" s="552"/>
      <c r="F40" s="552"/>
      <c r="G40" s="552"/>
      <c r="H40" s="552"/>
      <c r="I40" s="552"/>
    </row>
    <row r="41" spans="1:9" x14ac:dyDescent="0.35">
      <c r="A41" s="551" t="s">
        <v>235</v>
      </c>
      <c r="B41" s="551"/>
      <c r="C41" s="552" t="s">
        <v>277</v>
      </c>
      <c r="D41" s="552"/>
      <c r="E41" s="552"/>
      <c r="F41" s="552"/>
      <c r="G41" s="552"/>
      <c r="H41" s="552"/>
      <c r="I41" s="552"/>
    </row>
    <row r="42" spans="1:9" x14ac:dyDescent="0.35">
      <c r="A42" s="551" t="s">
        <v>237</v>
      </c>
      <c r="B42" s="551"/>
      <c r="C42" s="552" t="s">
        <v>278</v>
      </c>
      <c r="D42" s="552"/>
      <c r="E42" s="552"/>
      <c r="F42" s="552"/>
      <c r="G42" s="552"/>
      <c r="H42" s="552"/>
      <c r="I42" s="552"/>
    </row>
    <row r="43" spans="1:9" x14ac:dyDescent="0.35">
      <c r="A43" s="551" t="s">
        <v>239</v>
      </c>
      <c r="B43" s="551"/>
      <c r="C43" s="552" t="s">
        <v>313</v>
      </c>
      <c r="D43" s="552"/>
      <c r="E43" s="552"/>
      <c r="F43" s="552"/>
      <c r="G43" s="552"/>
      <c r="H43" s="552"/>
      <c r="I43" s="552"/>
    </row>
    <row r="44" spans="1:9" x14ac:dyDescent="0.35">
      <c r="A44" s="551" t="s">
        <v>241</v>
      </c>
      <c r="B44" s="551"/>
      <c r="C44" s="289" t="s">
        <v>314</v>
      </c>
      <c r="D44" s="541" t="s">
        <v>280</v>
      </c>
      <c r="E44" s="541"/>
      <c r="F44" s="541"/>
      <c r="G44" s="541"/>
      <c r="H44" s="541"/>
      <c r="I44" s="541"/>
    </row>
    <row r="45" spans="1:9" ht="104" thickBot="1" x14ac:dyDescent="0.4">
      <c r="A45" s="553" t="s">
        <v>281</v>
      </c>
      <c r="B45" s="553"/>
      <c r="C45" s="554" t="s">
        <v>282</v>
      </c>
      <c r="D45" s="269" t="s">
        <v>315</v>
      </c>
      <c r="E45" s="269" t="s">
        <v>284</v>
      </c>
      <c r="F45" s="269" t="s">
        <v>285</v>
      </c>
      <c r="G45" s="269" t="s">
        <v>286</v>
      </c>
      <c r="H45" s="269" t="s">
        <v>287</v>
      </c>
      <c r="I45" s="269" t="s">
        <v>316</v>
      </c>
    </row>
    <row r="46" spans="1:9" ht="15.5" thickTop="1" thickBot="1" x14ac:dyDescent="0.4">
      <c r="A46" s="555" t="s">
        <v>289</v>
      </c>
      <c r="B46" s="547" t="s">
        <v>290</v>
      </c>
      <c r="C46" s="554"/>
      <c r="D46" s="271" t="s">
        <v>291</v>
      </c>
      <c r="E46" s="271" t="s">
        <v>292</v>
      </c>
      <c r="F46" s="271" t="s">
        <v>293</v>
      </c>
      <c r="G46" s="271" t="s">
        <v>293</v>
      </c>
      <c r="H46" s="271" t="s">
        <v>293</v>
      </c>
      <c r="I46" s="271" t="s">
        <v>294</v>
      </c>
    </row>
    <row r="47" spans="1:9" ht="35.5" thickTop="1" thickBot="1" x14ac:dyDescent="0.4">
      <c r="A47" s="555"/>
      <c r="B47" s="547"/>
      <c r="C47" s="554"/>
      <c r="D47" s="288"/>
      <c r="E47" s="271" t="s">
        <v>295</v>
      </c>
      <c r="F47" s="271" t="s">
        <v>296</v>
      </c>
      <c r="G47" s="271" t="s">
        <v>296</v>
      </c>
      <c r="H47" s="271" t="s">
        <v>296</v>
      </c>
      <c r="I47" s="269" t="s">
        <v>317</v>
      </c>
    </row>
    <row r="48" spans="1:9" ht="15.5" thickTop="1" thickBot="1" x14ac:dyDescent="0.4">
      <c r="A48" s="555"/>
      <c r="B48" s="547"/>
      <c r="C48" s="554"/>
      <c r="D48" s="272" t="s">
        <v>318</v>
      </c>
      <c r="E48" s="272" t="s">
        <v>299</v>
      </c>
      <c r="F48" s="272" t="s">
        <v>300</v>
      </c>
      <c r="G48" s="272" t="s">
        <v>301</v>
      </c>
      <c r="H48" s="272" t="s">
        <v>302</v>
      </c>
      <c r="I48" s="266" t="s">
        <v>319</v>
      </c>
    </row>
    <row r="49" spans="1:10" ht="15" thickTop="1" x14ac:dyDescent="0.35">
      <c r="A49" s="509" t="s">
        <v>304</v>
      </c>
      <c r="B49" s="509" t="s">
        <v>304</v>
      </c>
      <c r="C49" s="508"/>
      <c r="D49" s="508"/>
      <c r="E49" s="508"/>
      <c r="F49" s="508"/>
      <c r="G49" s="508"/>
      <c r="H49" s="508"/>
      <c r="I49" s="508"/>
    </row>
    <row r="50" spans="1:10" x14ac:dyDescent="0.35">
      <c r="A50" s="548" t="s">
        <v>258</v>
      </c>
      <c r="B50" s="549"/>
      <c r="C50" s="550"/>
      <c r="D50" s="137"/>
      <c r="E50" s="137"/>
      <c r="F50" s="137"/>
      <c r="G50" s="137"/>
      <c r="H50" s="137"/>
      <c r="I50" s="137"/>
    </row>
    <row r="53" spans="1:10" x14ac:dyDescent="0.35">
      <c r="B53" s="411"/>
      <c r="C53" s="512" t="s">
        <v>810</v>
      </c>
      <c r="D53" s="512" t="s">
        <v>813</v>
      </c>
      <c r="E53" s="512" t="s">
        <v>814</v>
      </c>
      <c r="F53" s="512" t="s">
        <v>815</v>
      </c>
      <c r="G53" s="513" t="s">
        <v>816</v>
      </c>
      <c r="H53" s="514" t="s">
        <v>817</v>
      </c>
      <c r="I53" s="514" t="s">
        <v>818</v>
      </c>
      <c r="J53" s="425" t="s">
        <v>812</v>
      </c>
    </row>
    <row r="54" spans="1:10" x14ac:dyDescent="0.35">
      <c r="B54" s="456" t="s">
        <v>305</v>
      </c>
      <c r="C54" s="504">
        <v>1</v>
      </c>
      <c r="D54" s="504">
        <f>'Other input data'!$G$74</f>
        <v>76</v>
      </c>
      <c r="E54" s="510">
        <f>'Other input data'!$G$71</f>
        <v>0.7</v>
      </c>
      <c r="F54" s="510">
        <f>'Other input data'!G72</f>
        <v>1</v>
      </c>
      <c r="G54" s="510">
        <f>'Other input data'!G73</f>
        <v>1</v>
      </c>
      <c r="H54" s="402">
        <f>C54*D54*E54*F54*G54</f>
        <v>53.199999999999996</v>
      </c>
      <c r="I54" s="402">
        <f>C54*D54*E54*F54*G54</f>
        <v>53.199999999999996</v>
      </c>
      <c r="J54" s="138">
        <v>16</v>
      </c>
    </row>
    <row r="55" spans="1:10" x14ac:dyDescent="0.35">
      <c r="B55" s="463" t="s">
        <v>306</v>
      </c>
      <c r="C55" s="478">
        <v>1</v>
      </c>
      <c r="D55" s="478">
        <f>'Other input data'!$G$74</f>
        <v>76</v>
      </c>
      <c r="E55" s="511">
        <f>'Other input data'!$G$77</f>
        <v>0.72</v>
      </c>
      <c r="F55" s="511">
        <f>'Other input data'!$G$78</f>
        <v>1.04</v>
      </c>
      <c r="G55" s="511">
        <f>'Other input data'!$G$79</f>
        <v>1.1100000000000001</v>
      </c>
      <c r="H55" s="399">
        <f>H54</f>
        <v>53.199999999999996</v>
      </c>
      <c r="I55" s="399">
        <f>C55*D55*E55*F55*G55</f>
        <v>63.168768000000007</v>
      </c>
      <c r="J55" s="411">
        <v>16</v>
      </c>
    </row>
  </sheetData>
  <mergeCells count="45">
    <mergeCell ref="A16:C16"/>
    <mergeCell ref="A9:B9"/>
    <mergeCell ref="C9:G9"/>
    <mergeCell ref="A10:B10"/>
    <mergeCell ref="D10:G10"/>
    <mergeCell ref="A11:B11"/>
    <mergeCell ref="C11:C14"/>
    <mergeCell ref="A12:A14"/>
    <mergeCell ref="B12:B14"/>
    <mergeCell ref="A6:B6"/>
    <mergeCell ref="C6:G6"/>
    <mergeCell ref="A7:B7"/>
    <mergeCell ref="C7:G7"/>
    <mergeCell ref="A8:B8"/>
    <mergeCell ref="C8:G8"/>
    <mergeCell ref="A24:B24"/>
    <mergeCell ref="C24:I24"/>
    <mergeCell ref="A25:B25"/>
    <mergeCell ref="C25:I25"/>
    <mergeCell ref="A26:B26"/>
    <mergeCell ref="C26:I26"/>
    <mergeCell ref="A34:C34"/>
    <mergeCell ref="A27:B27"/>
    <mergeCell ref="C27:I27"/>
    <mergeCell ref="A28:B28"/>
    <mergeCell ref="D28:I28"/>
    <mergeCell ref="A29:B29"/>
    <mergeCell ref="C29:C32"/>
    <mergeCell ref="A30:A32"/>
    <mergeCell ref="B30:B32"/>
    <mergeCell ref="B46:B48"/>
    <mergeCell ref="A50:C50"/>
    <mergeCell ref="A40:B40"/>
    <mergeCell ref="C40:I40"/>
    <mergeCell ref="A41:B41"/>
    <mergeCell ref="C41:I41"/>
    <mergeCell ref="A42:B42"/>
    <mergeCell ref="C42:I42"/>
    <mergeCell ref="A43:B43"/>
    <mergeCell ref="C43:I43"/>
    <mergeCell ref="A44:B44"/>
    <mergeCell ref="D44:I44"/>
    <mergeCell ref="A45:B45"/>
    <mergeCell ref="C45:C48"/>
    <mergeCell ref="A46:A48"/>
  </mergeCells>
  <pageMargins left="1.25" right="1.25" top="1" bottom="0.74583299999999997" header="0.25" footer="0.25"/>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5:I39"/>
  <sheetViews>
    <sheetView topLeftCell="A7" workbookViewId="0">
      <selection activeCell="I28" sqref="I28"/>
    </sheetView>
  </sheetViews>
  <sheetFormatPr defaultRowHeight="14.5" x14ac:dyDescent="0.35"/>
  <cols>
    <col min="2" max="2" width="25.81640625" customWidth="1"/>
    <col min="3" max="3" width="19.54296875" customWidth="1"/>
    <col min="4" max="4" width="10.81640625" customWidth="1"/>
    <col min="5" max="6" width="21.1796875" customWidth="1"/>
    <col min="7" max="7" width="10.54296875" customWidth="1"/>
    <col min="8" max="8" width="11" customWidth="1"/>
    <col min="9" max="9" width="25.81640625" customWidth="1"/>
  </cols>
  <sheetData>
    <row r="5" spans="1:9" x14ac:dyDescent="0.35">
      <c r="A5" s="539" t="s">
        <v>233</v>
      </c>
      <c r="B5" s="539"/>
      <c r="C5" s="540" t="s">
        <v>234</v>
      </c>
      <c r="D5" s="540"/>
      <c r="E5" s="540"/>
      <c r="F5" s="540"/>
      <c r="G5" s="540"/>
      <c r="H5" s="540"/>
      <c r="I5" s="540"/>
    </row>
    <row r="6" spans="1:9" x14ac:dyDescent="0.35">
      <c r="A6" s="539" t="s">
        <v>235</v>
      </c>
      <c r="B6" s="539"/>
      <c r="C6" s="577" t="s">
        <v>334</v>
      </c>
      <c r="D6" s="577"/>
      <c r="E6" s="540"/>
      <c r="F6" s="540"/>
      <c r="G6" s="540"/>
      <c r="H6" s="540"/>
      <c r="I6" s="540"/>
    </row>
    <row r="7" spans="1:9" x14ac:dyDescent="0.35">
      <c r="A7" s="539" t="s">
        <v>237</v>
      </c>
      <c r="B7" s="539"/>
      <c r="C7" s="540"/>
      <c r="D7" s="540"/>
      <c r="E7" s="540"/>
      <c r="F7" s="540"/>
      <c r="G7" s="540"/>
      <c r="H7" s="540"/>
      <c r="I7" s="540"/>
    </row>
    <row r="8" spans="1:9" x14ac:dyDescent="0.35">
      <c r="A8" s="539" t="s">
        <v>239</v>
      </c>
      <c r="B8" s="539"/>
      <c r="C8" s="540" t="s">
        <v>240</v>
      </c>
      <c r="D8" s="540"/>
      <c r="E8" s="540"/>
      <c r="F8" s="540"/>
      <c r="G8" s="540"/>
      <c r="H8" s="540"/>
      <c r="I8" s="540"/>
    </row>
    <row r="9" spans="1:9" ht="38.5" customHeight="1" x14ac:dyDescent="0.35">
      <c r="A9" s="539" t="s">
        <v>241</v>
      </c>
      <c r="B9" s="539"/>
      <c r="C9" s="284"/>
      <c r="D9" s="284"/>
      <c r="E9" s="578" t="s">
        <v>335</v>
      </c>
      <c r="F9" s="579"/>
      <c r="G9" s="579"/>
      <c r="H9" s="579"/>
      <c r="I9" s="579"/>
    </row>
    <row r="10" spans="1:9" ht="23.5" thickBot="1" x14ac:dyDescent="0.4">
      <c r="A10" s="541" t="s">
        <v>244</v>
      </c>
      <c r="B10" s="541"/>
      <c r="C10" s="580" t="s">
        <v>245</v>
      </c>
      <c r="D10" s="294" t="s">
        <v>336</v>
      </c>
      <c r="E10" s="284" t="s">
        <v>337</v>
      </c>
      <c r="F10" s="284" t="s">
        <v>338</v>
      </c>
      <c r="G10" s="284" t="s">
        <v>339</v>
      </c>
      <c r="H10" s="295" t="s">
        <v>340</v>
      </c>
      <c r="I10" s="284" t="s">
        <v>341</v>
      </c>
    </row>
    <row r="11" spans="1:9" ht="15.5" thickTop="1" thickBot="1" x14ac:dyDescent="0.4">
      <c r="A11" s="546" t="s">
        <v>249</v>
      </c>
      <c r="B11" s="545" t="s">
        <v>250</v>
      </c>
      <c r="C11" s="580"/>
      <c r="D11" s="294" t="s">
        <v>342</v>
      </c>
      <c r="E11" s="296" t="s">
        <v>343</v>
      </c>
      <c r="F11" s="296" t="s">
        <v>343</v>
      </c>
      <c r="G11" s="296" t="s">
        <v>344</v>
      </c>
      <c r="H11" s="296" t="s">
        <v>106</v>
      </c>
      <c r="I11" s="286" t="s">
        <v>251</v>
      </c>
    </row>
    <row r="12" spans="1:9" ht="30.65" customHeight="1" thickTop="1" thickBot="1" x14ac:dyDescent="0.4">
      <c r="A12" s="546"/>
      <c r="B12" s="545"/>
      <c r="C12" s="580"/>
      <c r="D12" s="297"/>
      <c r="E12" s="298" t="s">
        <v>345</v>
      </c>
      <c r="F12" s="298" t="s">
        <v>346</v>
      </c>
      <c r="G12" s="298" t="s">
        <v>121</v>
      </c>
      <c r="H12" s="298" t="s">
        <v>100</v>
      </c>
      <c r="I12" s="298" t="s">
        <v>347</v>
      </c>
    </row>
    <row r="13" spans="1:9" ht="15" thickTop="1" x14ac:dyDescent="0.35">
      <c r="A13" s="430" t="s">
        <v>348</v>
      </c>
      <c r="B13" s="430" t="s">
        <v>348</v>
      </c>
      <c r="C13" s="431"/>
      <c r="D13" s="432"/>
      <c r="E13" s="433"/>
      <c r="F13" s="433"/>
      <c r="G13" s="434"/>
      <c r="H13" s="435"/>
      <c r="I13" s="436"/>
    </row>
    <row r="14" spans="1:9" x14ac:dyDescent="0.35">
      <c r="A14" s="13"/>
      <c r="B14" s="13"/>
      <c r="C14" s="13"/>
      <c r="D14" s="13"/>
      <c r="E14" s="13"/>
      <c r="F14" s="13"/>
      <c r="G14" s="13"/>
      <c r="H14" s="13"/>
      <c r="I14" s="13"/>
    </row>
    <row r="15" spans="1:9" x14ac:dyDescent="0.35">
      <c r="A15" s="13" t="s">
        <v>750</v>
      </c>
      <c r="B15" s="13"/>
      <c r="C15" s="13"/>
      <c r="D15" s="13"/>
      <c r="E15" s="13"/>
      <c r="F15" s="13"/>
      <c r="G15" s="13"/>
      <c r="H15" s="13"/>
      <c r="I15" s="13"/>
    </row>
    <row r="16" spans="1:9" x14ac:dyDescent="0.35">
      <c r="A16" s="13" t="s">
        <v>751</v>
      </c>
      <c r="B16" s="13"/>
      <c r="H16" s="13"/>
      <c r="I16" s="13"/>
    </row>
    <row r="17" spans="1:9" x14ac:dyDescent="0.35">
      <c r="A17" s="13" t="s">
        <v>752</v>
      </c>
      <c r="B17" s="13"/>
      <c r="H17" s="13"/>
      <c r="I17" s="13"/>
    </row>
    <row r="18" spans="1:9" x14ac:dyDescent="0.35">
      <c r="A18" s="13" t="s">
        <v>349</v>
      </c>
      <c r="B18" s="13"/>
      <c r="H18" s="13"/>
      <c r="I18" s="13"/>
    </row>
    <row r="19" spans="1:9" x14ac:dyDescent="0.35">
      <c r="A19" s="13"/>
      <c r="B19" s="13"/>
      <c r="H19" s="13"/>
      <c r="I19" s="13"/>
    </row>
    <row r="20" spans="1:9" x14ac:dyDescent="0.35">
      <c r="A20" s="13"/>
      <c r="B20" s="13"/>
      <c r="H20" s="13"/>
      <c r="I20" s="13"/>
    </row>
    <row r="21" spans="1:9" x14ac:dyDescent="0.35">
      <c r="A21" s="13"/>
      <c r="B21" s="361"/>
      <c r="C21" s="426" t="s">
        <v>99</v>
      </c>
      <c r="D21" s="426" t="s">
        <v>119</v>
      </c>
      <c r="E21" s="426" t="s">
        <v>120</v>
      </c>
      <c r="F21" s="426" t="s">
        <v>121</v>
      </c>
      <c r="G21" s="426" t="s">
        <v>100</v>
      </c>
      <c r="I21" s="13"/>
    </row>
    <row r="22" spans="1:9" x14ac:dyDescent="0.35">
      <c r="A22" s="13"/>
      <c r="B22" s="110"/>
      <c r="C22" s="437" t="s">
        <v>107</v>
      </c>
      <c r="D22" s="437" t="s">
        <v>123</v>
      </c>
      <c r="E22" s="437" t="s">
        <v>123</v>
      </c>
      <c r="F22" s="437" t="s">
        <v>124</v>
      </c>
      <c r="G22" s="437" t="s">
        <v>106</v>
      </c>
      <c r="I22" s="13"/>
    </row>
    <row r="23" spans="1:9" x14ac:dyDescent="0.35">
      <c r="A23" s="13"/>
      <c r="B23" s="389" t="s">
        <v>36</v>
      </c>
      <c r="C23" s="152">
        <v>1</v>
      </c>
      <c r="D23" s="152">
        <v>0</v>
      </c>
      <c r="E23" s="152">
        <f>'Other input data'!G88</f>
        <v>1.85</v>
      </c>
      <c r="F23" s="153">
        <v>1</v>
      </c>
      <c r="G23" s="344">
        <f>'Other input data'!G$86</f>
        <v>0.37</v>
      </c>
      <c r="I23" s="13"/>
    </row>
    <row r="24" spans="1:9" x14ac:dyDescent="0.35">
      <c r="A24" s="13"/>
      <c r="B24" s="389" t="s">
        <v>37</v>
      </c>
      <c r="C24" s="152">
        <v>1</v>
      </c>
      <c r="D24" s="152">
        <f>E23</f>
        <v>1.85</v>
      </c>
      <c r="E24" s="152">
        <f>E$23+D24</f>
        <v>3.7</v>
      </c>
      <c r="F24" s="153">
        <v>1</v>
      </c>
      <c r="G24" s="344">
        <f>'Other input data'!G$86</f>
        <v>0.37</v>
      </c>
      <c r="I24" s="13"/>
    </row>
    <row r="25" spans="1:9" x14ac:dyDescent="0.35">
      <c r="A25" s="13"/>
      <c r="B25" s="389" t="s">
        <v>38</v>
      </c>
      <c r="C25" s="152">
        <v>1</v>
      </c>
      <c r="D25" s="152">
        <f>E24</f>
        <v>3.7</v>
      </c>
      <c r="E25" s="152">
        <f>E$23+D25</f>
        <v>5.5500000000000007</v>
      </c>
      <c r="F25" s="153">
        <v>1</v>
      </c>
      <c r="G25" s="344">
        <f>'Other input data'!G$86</f>
        <v>0.37</v>
      </c>
      <c r="I25" s="13"/>
    </row>
    <row r="26" spans="1:9" x14ac:dyDescent="0.35">
      <c r="A26" s="13"/>
      <c r="B26" s="390" t="s">
        <v>39</v>
      </c>
      <c r="C26" s="152">
        <v>1</v>
      </c>
      <c r="D26" s="152">
        <f>E25</f>
        <v>5.5500000000000007</v>
      </c>
      <c r="E26" s="152">
        <f>E$23+D26</f>
        <v>7.4</v>
      </c>
      <c r="F26" s="156">
        <v>1</v>
      </c>
      <c r="G26" s="344">
        <f>'Other input data'!G$86</f>
        <v>0.37</v>
      </c>
      <c r="I26" s="13"/>
    </row>
    <row r="27" spans="1:9" x14ac:dyDescent="0.35">
      <c r="A27" s="13"/>
      <c r="B27" s="389" t="s">
        <v>40</v>
      </c>
      <c r="C27" s="154">
        <v>1</v>
      </c>
      <c r="D27" s="154">
        <v>0</v>
      </c>
      <c r="E27" s="427">
        <f>'Other input data'!G$89*'Other input data'!D92</f>
        <v>0.21299999999999999</v>
      </c>
      <c r="F27" s="153">
        <v>1</v>
      </c>
      <c r="G27" s="345">
        <f>'Other input data'!G$86</f>
        <v>0.37</v>
      </c>
      <c r="I27" s="13"/>
    </row>
    <row r="28" spans="1:9" x14ac:dyDescent="0.35">
      <c r="A28" s="13"/>
      <c r="B28" s="389" t="s">
        <v>41</v>
      </c>
      <c r="C28" s="152">
        <v>1</v>
      </c>
      <c r="D28" s="152">
        <v>0</v>
      </c>
      <c r="E28" s="428">
        <f>'Other input data'!G$89*'Other input data'!D93</f>
        <v>1.393375</v>
      </c>
      <c r="F28" s="153">
        <v>1</v>
      </c>
      <c r="G28" s="344">
        <f>'Other input data'!G$86</f>
        <v>0.37</v>
      </c>
      <c r="I28" s="13"/>
    </row>
    <row r="29" spans="1:9" x14ac:dyDescent="0.35">
      <c r="A29" s="13"/>
      <c r="B29" s="389" t="s">
        <v>42</v>
      </c>
      <c r="C29" s="152">
        <v>1</v>
      </c>
      <c r="D29" s="152">
        <v>0</v>
      </c>
      <c r="E29" s="428">
        <f>'Other input data'!G$89*'Other input data'!D94</f>
        <v>3.9404999999999992</v>
      </c>
      <c r="F29" s="153">
        <v>1</v>
      </c>
      <c r="G29" s="344">
        <f>'Other input data'!G$86</f>
        <v>0.37</v>
      </c>
      <c r="I29" s="13"/>
    </row>
    <row r="30" spans="1:9" x14ac:dyDescent="0.35">
      <c r="A30" s="13"/>
      <c r="B30" s="390" t="s">
        <v>43</v>
      </c>
      <c r="C30" s="152">
        <v>1</v>
      </c>
      <c r="D30" s="155">
        <v>0</v>
      </c>
      <c r="E30" s="428">
        <f>'Other input data'!G$89*'Other input data'!D95</f>
        <v>4.4522916666666665</v>
      </c>
      <c r="F30" s="156">
        <v>1</v>
      </c>
      <c r="G30" s="344">
        <f>'Other input data'!G$86</f>
        <v>0.37</v>
      </c>
      <c r="I30" s="13"/>
    </row>
    <row r="31" spans="1:9" x14ac:dyDescent="0.35">
      <c r="A31" s="13"/>
      <c r="B31" s="389" t="s">
        <v>44</v>
      </c>
      <c r="C31" s="154">
        <v>1</v>
      </c>
      <c r="D31" s="154">
        <v>0</v>
      </c>
      <c r="E31" s="427">
        <f>'Other input data'!G$89*'Other input data'!E92</f>
        <v>0.72656666666666658</v>
      </c>
      <c r="F31" s="153">
        <v>1</v>
      </c>
      <c r="G31" s="345">
        <f>'Other input data'!G$86</f>
        <v>0.37</v>
      </c>
      <c r="I31" s="13"/>
    </row>
    <row r="32" spans="1:9" x14ac:dyDescent="0.35">
      <c r="A32" s="13"/>
      <c r="B32" s="389" t="s">
        <v>45</v>
      </c>
      <c r="C32" s="152">
        <v>1</v>
      </c>
      <c r="D32" s="152">
        <v>0</v>
      </c>
      <c r="E32" s="428">
        <f>'Other input data'!G$89*'Other input data'!E93</f>
        <v>2.9358499999999998</v>
      </c>
      <c r="F32" s="153">
        <v>1</v>
      </c>
      <c r="G32" s="344">
        <f>'Other input data'!G$86</f>
        <v>0.37</v>
      </c>
      <c r="I32" s="13"/>
    </row>
    <row r="33" spans="2:7" x14ac:dyDescent="0.35">
      <c r="B33" s="389" t="s">
        <v>46</v>
      </c>
      <c r="C33" s="152">
        <v>1</v>
      </c>
      <c r="D33" s="152">
        <v>0</v>
      </c>
      <c r="E33" s="428">
        <f>'Other input data'!G$89*'Other input data'!E94</f>
        <v>3.8789666666666669</v>
      </c>
      <c r="F33" s="153">
        <v>1</v>
      </c>
      <c r="G33" s="344">
        <f>'Other input data'!G$86</f>
        <v>0.37</v>
      </c>
    </row>
    <row r="34" spans="2:7" x14ac:dyDescent="0.35">
      <c r="B34" s="390" t="s">
        <v>47</v>
      </c>
      <c r="C34" s="152">
        <v>1</v>
      </c>
      <c r="D34" s="155">
        <v>0</v>
      </c>
      <c r="E34" s="429">
        <f>'Other input data'!G$89*'Other input data'!E95</f>
        <v>4.1240350000000001</v>
      </c>
      <c r="F34" s="156">
        <v>1</v>
      </c>
      <c r="G34" s="344">
        <f>'Other input data'!G$86</f>
        <v>0.37</v>
      </c>
    </row>
    <row r="35" spans="2:7" x14ac:dyDescent="0.35">
      <c r="B35" s="391" t="s">
        <v>48</v>
      </c>
      <c r="C35" s="154">
        <v>1</v>
      </c>
      <c r="D35" s="154">
        <v>0</v>
      </c>
      <c r="E35" s="154">
        <v>0</v>
      </c>
      <c r="F35" s="153">
        <v>1</v>
      </c>
      <c r="G35" s="345">
        <f>'Other input data'!G$86</f>
        <v>0.37</v>
      </c>
    </row>
    <row r="36" spans="2:7" x14ac:dyDescent="0.35">
      <c r="B36" s="391" t="s">
        <v>49</v>
      </c>
      <c r="C36" s="152">
        <v>1</v>
      </c>
      <c r="D36" s="152">
        <v>0</v>
      </c>
      <c r="E36" s="152">
        <v>0</v>
      </c>
      <c r="F36" s="153">
        <v>1</v>
      </c>
      <c r="G36" s="344">
        <f>'Other input data'!G$86</f>
        <v>0.37</v>
      </c>
    </row>
    <row r="37" spans="2:7" x14ac:dyDescent="0.35">
      <c r="B37" s="391" t="s">
        <v>50</v>
      </c>
      <c r="C37" s="152">
        <v>1</v>
      </c>
      <c r="D37" s="152">
        <v>0</v>
      </c>
      <c r="E37" s="152">
        <v>0</v>
      </c>
      <c r="F37" s="153">
        <v>1</v>
      </c>
      <c r="G37" s="344">
        <f>'Other input data'!G$86</f>
        <v>0.37</v>
      </c>
    </row>
    <row r="38" spans="2:7" x14ac:dyDescent="0.35">
      <c r="B38" s="391" t="s">
        <v>51</v>
      </c>
      <c r="C38" s="152">
        <v>1</v>
      </c>
      <c r="D38" s="152">
        <v>0</v>
      </c>
      <c r="E38" s="152">
        <v>0</v>
      </c>
      <c r="F38" s="153">
        <v>1</v>
      </c>
      <c r="G38" s="344">
        <f>'Other input data'!G$86</f>
        <v>0.37</v>
      </c>
    </row>
    <row r="39" spans="2:7" x14ac:dyDescent="0.35">
      <c r="B39" s="392" t="s">
        <v>52</v>
      </c>
      <c r="C39" s="155">
        <v>1</v>
      </c>
      <c r="D39" s="155">
        <v>0</v>
      </c>
      <c r="E39" s="155">
        <v>0</v>
      </c>
      <c r="F39" s="156">
        <v>1</v>
      </c>
      <c r="G39" s="346">
        <f>'Other input data'!G$86</f>
        <v>0.37</v>
      </c>
    </row>
  </sheetData>
  <mergeCells count="14">
    <mergeCell ref="A8:B8"/>
    <mergeCell ref="C8:I8"/>
    <mergeCell ref="A9:B9"/>
    <mergeCell ref="E9:I9"/>
    <mergeCell ref="A10:B10"/>
    <mergeCell ref="C10:C12"/>
    <mergeCell ref="A11:A12"/>
    <mergeCell ref="B11:B12"/>
    <mergeCell ref="A5:B5"/>
    <mergeCell ref="C5:I5"/>
    <mergeCell ref="A6:B6"/>
    <mergeCell ref="C6:I6"/>
    <mergeCell ref="A7:B7"/>
    <mergeCell ref="C7:I7"/>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37"/>
  <sheetViews>
    <sheetView topLeftCell="A19" workbookViewId="0">
      <selection activeCell="D38" sqref="D38"/>
    </sheetView>
  </sheetViews>
  <sheetFormatPr defaultRowHeight="14.5" x14ac:dyDescent="0.35"/>
  <cols>
    <col min="1" max="1" width="23" customWidth="1"/>
    <col min="2" max="2" width="35.453125" customWidth="1"/>
    <col min="3" max="3" width="39.54296875" customWidth="1"/>
    <col min="4" max="4" width="40.54296875" customWidth="1"/>
  </cols>
  <sheetData>
    <row r="1" spans="1:4" x14ac:dyDescent="0.35">
      <c r="A1" s="1"/>
    </row>
    <row r="6" spans="1:4" ht="11.5" customHeight="1" x14ac:dyDescent="0.35">
      <c r="A6" s="267" t="s">
        <v>233</v>
      </c>
      <c r="B6" s="552" t="s">
        <v>234</v>
      </c>
      <c r="C6" s="552"/>
      <c r="D6" s="552"/>
    </row>
    <row r="7" spans="1:4" ht="11.5" customHeight="1" x14ac:dyDescent="0.35">
      <c r="A7" s="267" t="s">
        <v>235</v>
      </c>
      <c r="B7" s="552" t="s">
        <v>354</v>
      </c>
      <c r="C7" s="552"/>
      <c r="D7" s="552"/>
    </row>
    <row r="8" spans="1:4" ht="11.5" customHeight="1" x14ac:dyDescent="0.35">
      <c r="A8" s="267" t="s">
        <v>237</v>
      </c>
      <c r="B8" s="552" t="s">
        <v>355</v>
      </c>
      <c r="C8" s="552"/>
      <c r="D8" s="552"/>
    </row>
    <row r="9" spans="1:4" ht="11.5" customHeight="1" x14ac:dyDescent="0.35">
      <c r="A9" s="267" t="s">
        <v>239</v>
      </c>
      <c r="B9" s="552" t="s">
        <v>240</v>
      </c>
      <c r="C9" s="552"/>
      <c r="D9" s="552"/>
    </row>
    <row r="10" spans="1:4" x14ac:dyDescent="0.35">
      <c r="A10" s="267" t="s">
        <v>241</v>
      </c>
      <c r="B10" s="581" t="s">
        <v>356</v>
      </c>
      <c r="C10" s="581"/>
      <c r="D10" s="581"/>
    </row>
    <row r="11" spans="1:4" x14ac:dyDescent="0.35">
      <c r="A11" s="8"/>
      <c r="B11" s="582"/>
      <c r="C11" s="583"/>
      <c r="D11" s="584"/>
    </row>
    <row r="12" spans="1:4" ht="23.5" thickBot="1" x14ac:dyDescent="0.4">
      <c r="A12" s="576" t="s">
        <v>357</v>
      </c>
      <c r="B12" s="213" t="s">
        <v>358</v>
      </c>
      <c r="C12" s="271" t="s">
        <v>359</v>
      </c>
      <c r="D12" s="213" t="s">
        <v>360</v>
      </c>
    </row>
    <row r="13" spans="1:4" ht="15.5" thickTop="1" thickBot="1" x14ac:dyDescent="0.4">
      <c r="A13" s="576"/>
      <c r="B13" s="223" t="s">
        <v>361</v>
      </c>
      <c r="C13" s="241" t="s">
        <v>362</v>
      </c>
      <c r="D13" s="213" t="s">
        <v>363</v>
      </c>
    </row>
    <row r="14" spans="1:4" x14ac:dyDescent="0.35">
      <c r="A14" s="576"/>
      <c r="B14" s="270"/>
      <c r="C14" s="271" t="s">
        <v>364</v>
      </c>
      <c r="D14" s="271" t="s">
        <v>365</v>
      </c>
    </row>
    <row r="15" spans="1:4" ht="15.5" thickTop="1" thickBot="1" x14ac:dyDescent="0.4">
      <c r="A15" s="576"/>
      <c r="B15" s="272" t="s">
        <v>366</v>
      </c>
      <c r="C15" s="272" t="s">
        <v>367</v>
      </c>
      <c r="D15" s="272" t="s">
        <v>368</v>
      </c>
    </row>
    <row r="16" spans="1:4" ht="15.65" customHeight="1" thickTop="1" x14ac:dyDescent="0.35">
      <c r="A16" s="299" t="s">
        <v>54</v>
      </c>
      <c r="B16" s="10">
        <f>D28/1000</f>
        <v>0.56716417910447758</v>
      </c>
      <c r="C16" s="10">
        <v>0.2</v>
      </c>
      <c r="D16" s="19">
        <f t="shared" ref="D16:D24" si="0">B16*C16</f>
        <v>0.11343283582089553</v>
      </c>
    </row>
    <row r="17" spans="1:4" ht="15.25" customHeight="1" x14ac:dyDescent="0.35">
      <c r="A17" s="300" t="s">
        <v>55</v>
      </c>
      <c r="B17" s="129">
        <f>D29/1000</f>
        <v>0.38805970149253732</v>
      </c>
      <c r="C17" s="129">
        <v>0.2</v>
      </c>
      <c r="D17" s="133">
        <f t="shared" si="0"/>
        <v>7.7611940298507473E-2</v>
      </c>
    </row>
    <row r="18" spans="1:4" ht="15.25" customHeight="1" x14ac:dyDescent="0.35">
      <c r="A18" s="300" t="s">
        <v>12</v>
      </c>
      <c r="B18" s="129">
        <f>D30/1000</f>
        <v>0.56716417910447758</v>
      </c>
      <c r="C18" s="129">
        <v>0.2</v>
      </c>
      <c r="D18" s="133">
        <f t="shared" si="0"/>
        <v>0.11343283582089553</v>
      </c>
    </row>
    <row r="19" spans="1:4" ht="15.25" customHeight="1" x14ac:dyDescent="0.35">
      <c r="A19" s="300" t="s">
        <v>56</v>
      </c>
      <c r="B19" s="129">
        <f>D31/1000</f>
        <v>0.46567164179104475</v>
      </c>
      <c r="C19" s="129">
        <v>0.2</v>
      </c>
      <c r="D19" s="133">
        <f t="shared" si="0"/>
        <v>9.3134328358208951E-2</v>
      </c>
    </row>
    <row r="20" spans="1:4" ht="15.25" customHeight="1" x14ac:dyDescent="0.35">
      <c r="A20" s="300" t="s">
        <v>57</v>
      </c>
      <c r="B20" s="129">
        <f>D32/1000</f>
        <v>0.44776119402985076</v>
      </c>
      <c r="C20" s="129">
        <v>0.2</v>
      </c>
      <c r="D20" s="133">
        <f t="shared" si="0"/>
        <v>8.9552238805970158E-2</v>
      </c>
    </row>
    <row r="21" spans="1:4" x14ac:dyDescent="0.35">
      <c r="A21" s="300" t="s">
        <v>26</v>
      </c>
      <c r="B21" s="129">
        <f t="shared" ref="B21:B24" si="1">D33/1000</f>
        <v>0.26865671641791045</v>
      </c>
      <c r="C21" s="129">
        <v>0.2</v>
      </c>
      <c r="D21" s="133">
        <f t="shared" si="0"/>
        <v>5.3731343283582089E-2</v>
      </c>
    </row>
    <row r="22" spans="1:4" x14ac:dyDescent="0.35">
      <c r="A22" s="300" t="s">
        <v>28</v>
      </c>
      <c r="B22" s="129">
        <f t="shared" si="1"/>
        <v>0.2507462686567164</v>
      </c>
      <c r="C22" s="129">
        <v>0.2</v>
      </c>
      <c r="D22" s="133">
        <f t="shared" si="0"/>
        <v>5.0149253731343282E-2</v>
      </c>
    </row>
    <row r="23" spans="1:4" x14ac:dyDescent="0.35">
      <c r="A23" s="300" t="s">
        <v>29</v>
      </c>
      <c r="B23" s="129">
        <f t="shared" si="1"/>
        <v>0.29850746268656719</v>
      </c>
      <c r="C23" s="129">
        <v>0.2</v>
      </c>
      <c r="D23" s="133">
        <f t="shared" si="0"/>
        <v>5.9701492537313439E-2</v>
      </c>
    </row>
    <row r="24" spans="1:4" x14ac:dyDescent="0.35">
      <c r="A24" s="301" t="s">
        <v>30</v>
      </c>
      <c r="B24" s="130">
        <f t="shared" si="1"/>
        <v>0.35820895522388058</v>
      </c>
      <c r="C24" s="130">
        <v>0.2</v>
      </c>
      <c r="D24" s="134">
        <f t="shared" si="0"/>
        <v>7.1641791044776124E-2</v>
      </c>
    </row>
    <row r="26" spans="1:4" x14ac:dyDescent="0.35">
      <c r="D26" s="9"/>
    </row>
    <row r="27" spans="1:4" ht="16.5" x14ac:dyDescent="0.35">
      <c r="B27" s="125" t="s">
        <v>369</v>
      </c>
      <c r="C27" s="125" t="s">
        <v>370</v>
      </c>
      <c r="D27" s="125" t="s">
        <v>371</v>
      </c>
    </row>
    <row r="28" spans="1:4" x14ac:dyDescent="0.35">
      <c r="B28" s="126" t="s">
        <v>54</v>
      </c>
      <c r="C28" s="127">
        <v>190</v>
      </c>
      <c r="D28" s="127">
        <f>C28*100/33.5</f>
        <v>567.16417910447763</v>
      </c>
    </row>
    <row r="29" spans="1:4" x14ac:dyDescent="0.35">
      <c r="B29" s="126" t="s">
        <v>55</v>
      </c>
      <c r="C29" s="127">
        <v>130</v>
      </c>
      <c r="D29" s="127">
        <f t="shared" ref="D29:D36" si="2">C29*100/33.5</f>
        <v>388.05970149253733</v>
      </c>
    </row>
    <row r="30" spans="1:4" x14ac:dyDescent="0.35">
      <c r="B30" s="126" t="s">
        <v>12</v>
      </c>
      <c r="C30" s="127">
        <v>190</v>
      </c>
      <c r="D30" s="127">
        <f t="shared" si="2"/>
        <v>567.16417910447763</v>
      </c>
    </row>
    <row r="31" spans="1:4" x14ac:dyDescent="0.35">
      <c r="B31" s="126" t="s">
        <v>56</v>
      </c>
      <c r="C31" s="127">
        <v>156</v>
      </c>
      <c r="D31" s="127">
        <f t="shared" si="2"/>
        <v>465.67164179104475</v>
      </c>
    </row>
    <row r="32" spans="1:4" x14ac:dyDescent="0.35">
      <c r="B32" s="126" t="s">
        <v>57</v>
      </c>
      <c r="C32" s="127">
        <v>150</v>
      </c>
      <c r="D32" s="127">
        <f t="shared" si="2"/>
        <v>447.76119402985074</v>
      </c>
    </row>
    <row r="33" spans="2:5" x14ac:dyDescent="0.35">
      <c r="B33" s="126" t="s">
        <v>26</v>
      </c>
      <c r="C33" s="127">
        <v>90</v>
      </c>
      <c r="D33" s="127">
        <f t="shared" si="2"/>
        <v>268.65671641791045</v>
      </c>
      <c r="E33" s="9"/>
    </row>
    <row r="34" spans="2:5" x14ac:dyDescent="0.35">
      <c r="B34" s="126" t="s">
        <v>28</v>
      </c>
      <c r="C34" s="127">
        <v>84</v>
      </c>
      <c r="D34" s="127">
        <f t="shared" si="2"/>
        <v>250.74626865671641</v>
      </c>
    </row>
    <row r="35" spans="2:5" x14ac:dyDescent="0.35">
      <c r="B35" s="126" t="s">
        <v>29</v>
      </c>
      <c r="C35" s="127">
        <v>100</v>
      </c>
      <c r="D35" s="127">
        <f t="shared" si="2"/>
        <v>298.50746268656718</v>
      </c>
    </row>
    <row r="36" spans="2:5" x14ac:dyDescent="0.35">
      <c r="B36" s="126" t="s">
        <v>30</v>
      </c>
      <c r="C36" s="127">
        <v>120</v>
      </c>
      <c r="D36" s="127">
        <f t="shared" si="2"/>
        <v>358.20895522388059</v>
      </c>
    </row>
    <row r="37" spans="2:5" x14ac:dyDescent="0.35">
      <c r="B37" s="302"/>
    </row>
  </sheetData>
  <mergeCells count="7">
    <mergeCell ref="A12:A15"/>
    <mergeCell ref="B6:D6"/>
    <mergeCell ref="B7:D7"/>
    <mergeCell ref="B8:D8"/>
    <mergeCell ref="B9:D9"/>
    <mergeCell ref="B10:D10"/>
    <mergeCell ref="B11:D11"/>
  </mergeCells>
  <pageMargins left="1.25" right="1.25" top="1" bottom="1" header="0.25" footer="0.25"/>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9F5DDB62B41D24CB974735F2B5F80B6" ma:contentTypeVersion="13" ma:contentTypeDescription="Create a new document." ma:contentTypeScope="" ma:versionID="51875ed1a98c8c567a6e98b677f0468e">
  <xsd:schema xmlns:xsd="http://www.w3.org/2001/XMLSchema" xmlns:xs="http://www.w3.org/2001/XMLSchema" xmlns:p="http://schemas.microsoft.com/office/2006/metadata/properties" xmlns:ns3="5b9dbb6f-f28e-4a32-a7d6-aa04ef18b565" xmlns:ns4="62dac45c-a09b-4542-889f-7647871c89a7" targetNamespace="http://schemas.microsoft.com/office/2006/metadata/properties" ma:root="true" ma:fieldsID="22ff35a8c09df7cc988a864a803e14f8" ns3:_="" ns4:_="">
    <xsd:import namespace="5b9dbb6f-f28e-4a32-a7d6-aa04ef18b565"/>
    <xsd:import namespace="62dac45c-a09b-4542-889f-7647871c89a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9dbb6f-f28e-4a32-a7d6-aa04ef18b56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dac45c-a09b-4542-889f-7647871c89a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C46E77-ECC9-4261-8853-7DAB93BAFACD}">
  <ds:schemaRefs>
    <ds:schemaRef ds:uri="http://schemas.microsoft.com/sharepoint/v3/contenttype/forms"/>
  </ds:schemaRefs>
</ds:datastoreItem>
</file>

<file path=customXml/itemProps2.xml><?xml version="1.0" encoding="utf-8"?>
<ds:datastoreItem xmlns:ds="http://schemas.openxmlformats.org/officeDocument/2006/customXml" ds:itemID="{A3AC4017-343F-4CB5-8124-715B73EBB4B3}">
  <ds:schemaRefs>
    <ds:schemaRef ds:uri="http://purl.org/dc/elements/1.1/"/>
    <ds:schemaRef ds:uri="5b9dbb6f-f28e-4a32-a7d6-aa04ef18b565"/>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 ds:uri="http://schemas.openxmlformats.org/package/2006/metadata/core-properties"/>
    <ds:schemaRef ds:uri="62dac45c-a09b-4542-889f-7647871c89a7"/>
    <ds:schemaRef ds:uri="http://schemas.microsoft.com/office/2006/metadata/properties"/>
  </ds:schemaRefs>
</ds:datastoreItem>
</file>

<file path=customXml/itemProps3.xml><?xml version="1.0" encoding="utf-8"?>
<ds:datastoreItem xmlns:ds="http://schemas.openxmlformats.org/officeDocument/2006/customXml" ds:itemID="{4561A8E0-A328-4ECA-9B6E-845454EF67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9dbb6f-f28e-4a32-a7d6-aa04ef18b565"/>
    <ds:schemaRef ds:uri="62dac45c-a09b-4542-889f-7647871c89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Info</vt:lpstr>
      <vt:lpstr>Summary</vt:lpstr>
      <vt:lpstr>Results</vt:lpstr>
      <vt:lpstr>Diesel</vt:lpstr>
      <vt:lpstr>BiomassAG</vt:lpstr>
      <vt:lpstr>BiomassBG</vt:lpstr>
      <vt:lpstr>min_soils</vt:lpstr>
      <vt:lpstr>Litter</vt:lpstr>
      <vt:lpstr>N_Application</vt:lpstr>
      <vt:lpstr>AmmNi</vt:lpstr>
      <vt:lpstr>directN2O_1</vt:lpstr>
      <vt:lpstr>indirectN20_1</vt:lpstr>
      <vt:lpstr>indirectN2O_2</vt:lpstr>
      <vt:lpstr>Machinery</vt:lpstr>
      <vt:lpstr>Other input data</vt:lpstr>
      <vt:lpstr>Paper calc</vt:lpstr>
      <vt:lpstr>Fertilisers</vt:lpstr>
      <vt:lpstr>LCI data</vt:lpstr>
      <vt:lpstr>GWP_CH4</vt:lpstr>
      <vt:lpstr>GWP_N2O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Cumplido-Marín, Laura</dc:creator>
  <cp:keywords/>
  <dc:description/>
  <cp:lastModifiedBy>Laura Cumplido-Marin</cp:lastModifiedBy>
  <cp:revision/>
  <dcterms:created xsi:type="dcterms:W3CDTF">2020-08-04T16:33:32Z</dcterms:created>
  <dcterms:modified xsi:type="dcterms:W3CDTF">2022-11-22T19:01:27Z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0x01010049F5DDB62B41D24CB974735F2B5F80B6</vt:lpwstr>
  </property>
</Properties>
</file>