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drawings/drawing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22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23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4.xml" ContentType="application/vnd.openxmlformats-officedocument.themeOverride+xml"/>
  <Override PartName="/xl/drawings/drawing3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5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6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7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8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9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30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31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32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33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34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5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6.xml" ContentType="application/vnd.openxmlformats-officedocument.themeOverride+xml"/>
  <Override PartName="/xl/drawings/drawing4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7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8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9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40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41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42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43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44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5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6.xml" ContentType="application/vnd.openxmlformats-officedocument.themeOverrid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7.xml" ContentType="application/vnd.openxmlformats-officedocument.themeOverrid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8.xml" ContentType="application/vnd.openxmlformats-officedocument.themeOverride+xml"/>
  <Override PartName="/xl/drawings/drawing5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9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50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theme/themeOverride51.xml" ContentType="application/vnd.openxmlformats-officedocument.themeOverrid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theme/themeOverride52.xml" ContentType="application/vnd.openxmlformats-officedocument.themeOverrid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theme/themeOverride53.xml" ContentType="application/vnd.openxmlformats-officedocument.themeOverrid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theme/themeOverride54.xml" ContentType="application/vnd.openxmlformats-officedocument.themeOverrid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theme/themeOverride55.xml" ContentType="application/vnd.openxmlformats-officedocument.themeOverrid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theme/themeOverride56.xml" ContentType="application/vnd.openxmlformats-officedocument.themeOverrid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theme/themeOverride57.xml" ContentType="application/vnd.openxmlformats-officedocument.themeOverrid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theme/themeOverride58.xml" ContentType="application/vnd.openxmlformats-officedocument.themeOverrid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theme/themeOverride59.xml" ContentType="application/vnd.openxmlformats-officedocument.themeOverrid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theme/themeOverride60.xml" ContentType="application/vnd.openxmlformats-officedocument.themeOverride+xml"/>
  <Override PartName="/xl/drawings/drawing6.xml" ContentType="application/vnd.openxmlformats-officedocument.drawing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theme/themeOverride61.xml" ContentType="application/vnd.openxmlformats-officedocument.themeOverrid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theme/themeOverride62.xml" ContentType="application/vnd.openxmlformats-officedocument.themeOverrid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theme/themeOverride63.xml" ContentType="application/vnd.openxmlformats-officedocument.themeOverrid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theme/themeOverride64.xml" ContentType="application/vnd.openxmlformats-officedocument.themeOverrid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theme/themeOverride65.xml" ContentType="application/vnd.openxmlformats-officedocument.themeOverrid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theme/themeOverride66.xml" ContentType="application/vnd.openxmlformats-officedocument.themeOverrid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theme/themeOverride67.xml" ContentType="application/vnd.openxmlformats-officedocument.themeOverrid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theme/themeOverride68.xml" ContentType="application/vnd.openxmlformats-officedocument.themeOverrid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theme/themeOverride69.xml" ContentType="application/vnd.openxmlformats-officedocument.themeOverrid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theme/themeOverride70.xml" ContentType="application/vnd.openxmlformats-officedocument.themeOverrid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theme/themeOverride71.xml" ContentType="application/vnd.openxmlformats-officedocument.themeOverrid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theme/themeOverride72.xml" ContentType="application/vnd.openxmlformats-officedocument.themeOverride+xml"/>
  <Override PartName="/xl/drawings/drawing7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drawings/drawing8.xml" ContentType="application/vnd.openxmlformats-officedocument.drawing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drawings/drawing9.xml" ContentType="application/vnd.openxmlformats-officedocument.drawing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drawings/drawing10.xml" ContentType="application/vnd.openxmlformats-officedocument.drawing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drawings/drawing11.xml" ContentType="application/vnd.openxmlformats-officedocument.drawing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charts/chart89.xml" ContentType="application/vnd.openxmlformats-officedocument.drawingml.chart+xml"/>
  <Override PartName="/xl/charts/style89.xml" ContentType="application/vnd.ms-office.chartstyle+xml"/>
  <Override PartName="/xl/charts/colors89.xml" ContentType="application/vnd.ms-office.chartcolorstyle+xml"/>
  <Override PartName="/xl/drawings/drawing12.xml" ContentType="application/vnd.openxmlformats-officedocument.drawing+xml"/>
  <Override PartName="/xl/charts/chart90.xml" ContentType="application/vnd.openxmlformats-officedocument.drawingml.chart+xml"/>
  <Override PartName="/xl/charts/style90.xml" ContentType="application/vnd.ms-office.chartstyle+xml"/>
  <Override PartName="/xl/charts/colors90.xml" ContentType="application/vnd.ms-office.chartcolorstyle+xml"/>
  <Override PartName="/xl/charts/chart91.xml" ContentType="application/vnd.openxmlformats-officedocument.drawingml.chart+xml"/>
  <Override PartName="/xl/charts/colors91.xml" ContentType="application/vnd.ms-office.chartcolorstyle+xml"/>
  <Override PartName="/xl/charts/chart92.xml" ContentType="application/vnd.openxmlformats-officedocument.drawingml.chart+xml"/>
  <Override PartName="/xl/charts/style92.xml" ContentType="application/vnd.ms-office.chartstyle+xml"/>
  <Override PartName="/xl/charts/colors92.xml" ContentType="application/vnd.ms-office.chartcolorstyle+xml"/>
  <Override PartName="/xl/charts/style91.xml" ContentType="application/vnd.ms-office.chart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https://miumh-my.sharepoint.com/personal/maria_gutierrezp_miumh_umh_es/Documents/Escritorio/Cranfield/Paper 4_Fusarium &amp; Mycotoxins/Gráficas/"/>
    </mc:Choice>
  </mc:AlternateContent>
  <xr:revisionPtr revIDLastSave="100" documentId="8_{2D8F4194-DBA9-4305-9FA4-E15762D2884B}" xr6:coauthVersionLast="47" xr6:coauthVersionMax="47" xr10:uidLastSave="{F7F9E4B7-B9A3-45C4-9CF1-02B5CA4D907B}"/>
  <bookViews>
    <workbookView xWindow="384" yWindow="384" windowWidth="17280" windowHeight="8880" tabRatio="903" firstSheet="4" activeTab="13" xr2:uid="{00000000-000D-0000-FFFF-FFFF00000000}"/>
  </bookViews>
  <sheets>
    <sheet name="F. sambucinum 5C" sheetId="3" r:id="rId1"/>
    <sheet name="F. sambucinum 10C" sheetId="7" r:id="rId2"/>
    <sheet name="F. sambucinum 15C" sheetId="8" r:id="rId3"/>
    <sheet name="F. oxysporum 5C" sheetId="4" r:id="rId4"/>
    <sheet name="F. oxysporum 10C" sheetId="9" r:id="rId5"/>
    <sheet name="F. oxysporum 15C" sheetId="10" r:id="rId6"/>
    <sheet name="Graphs" sheetId="6" r:id="rId7"/>
    <sheet name="JMP stats" sheetId="5" r:id="rId8"/>
    <sheet name="Fs. sambucinum" sheetId="13" r:id="rId9"/>
    <sheet name="Fs. sambucinum (2)" sheetId="16" r:id="rId10"/>
    <sheet name="Fs. oxysporum" sheetId="15" r:id="rId11"/>
    <sheet name="Fs. oxysporum (2)" sheetId="17" r:id="rId12"/>
    <sheet name="Between Fusarium spp." sheetId="18" r:id="rId13"/>
    <sheet name="Sheet1" sheetId="19" r:id="rId14"/>
  </sheets>
  <definedNames>
    <definedName name="_xlnm._FilterDatabase" localSheetId="1" hidden="1">'F. sambucinum 10C'!$BK$25:$BK$29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5" i="19" l="1"/>
  <c r="S16" i="19"/>
  <c r="S17" i="19"/>
  <c r="S18" i="19"/>
  <c r="R15" i="19"/>
  <c r="R16" i="19"/>
  <c r="R17" i="19"/>
  <c r="R18" i="19"/>
  <c r="S6" i="19"/>
  <c r="S7" i="19"/>
  <c r="S8" i="19"/>
  <c r="S9" i="19"/>
  <c r="S10" i="19"/>
  <c r="R6" i="19"/>
  <c r="R7" i="19"/>
  <c r="R8" i="19"/>
  <c r="R9" i="19"/>
  <c r="R10" i="19"/>
  <c r="S14" i="19"/>
  <c r="R14" i="19"/>
  <c r="S13" i="19"/>
  <c r="R13" i="19"/>
  <c r="S5" i="19"/>
  <c r="R5" i="19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2" i="5"/>
  <c r="F2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BM9" i="4"/>
  <c r="BL9" i="4"/>
  <c r="BP8" i="4"/>
  <c r="BP9" i="4" s="1"/>
  <c r="BO8" i="4"/>
  <c r="BO9" i="4" s="1"/>
  <c r="BN8" i="4"/>
  <c r="BN9" i="4" s="1"/>
  <c r="BM8" i="4"/>
  <c r="BL8" i="4"/>
  <c r="BK8" i="4"/>
  <c r="BK9" i="4" s="1"/>
  <c r="BO7" i="7"/>
  <c r="BO8" i="7" s="1"/>
  <c r="BN7" i="7"/>
  <c r="BN8" i="7" s="1"/>
  <c r="BM7" i="7"/>
  <c r="BM8" i="7" s="1"/>
  <c r="BL7" i="7"/>
  <c r="BL8" i="7" s="1"/>
  <c r="BK7" i="7"/>
  <c r="BK8" i="7" s="1"/>
  <c r="V35" i="3"/>
  <c r="U35" i="3"/>
  <c r="T35" i="3"/>
  <c r="S35" i="3"/>
  <c r="R35" i="3"/>
  <c r="Q35" i="3"/>
  <c r="V18" i="3"/>
  <c r="U18" i="3"/>
  <c r="S18" i="3"/>
  <c r="R18" i="3"/>
  <c r="Q18" i="3"/>
  <c r="C35" i="3"/>
  <c r="C18" i="3"/>
  <c r="C17" i="4"/>
  <c r="V34" i="3"/>
  <c r="U34" i="3"/>
  <c r="T34" i="3"/>
  <c r="S34" i="3"/>
  <c r="R34" i="3"/>
  <c r="Q34" i="3"/>
  <c r="C34" i="3"/>
  <c r="V17" i="3"/>
  <c r="U17" i="3"/>
  <c r="S17" i="3"/>
  <c r="R17" i="3"/>
  <c r="Q17" i="3"/>
  <c r="C17" i="3"/>
  <c r="C16" i="3"/>
  <c r="U17" i="7"/>
  <c r="T17" i="7"/>
  <c r="S17" i="7"/>
  <c r="R17" i="7"/>
  <c r="Q17" i="7"/>
  <c r="C17" i="7"/>
  <c r="BR7" i="7" l="1"/>
  <c r="V33" i="3"/>
  <c r="U33" i="3"/>
  <c r="T33" i="3"/>
  <c r="S33" i="3"/>
  <c r="R33" i="3"/>
  <c r="Q33" i="3"/>
  <c r="C33" i="3"/>
  <c r="V16" i="3"/>
  <c r="U16" i="3"/>
  <c r="S16" i="3"/>
  <c r="R16" i="3"/>
  <c r="Q16" i="3"/>
  <c r="U16" i="7"/>
  <c r="T16" i="7"/>
  <c r="S16" i="7"/>
  <c r="R16" i="7"/>
  <c r="Q16" i="7"/>
  <c r="C16" i="7"/>
  <c r="C16" i="4"/>
  <c r="C37" i="4"/>
  <c r="BS7" i="7" l="1"/>
  <c r="BP22" i="7"/>
  <c r="BP23" i="7" s="1"/>
  <c r="BO22" i="7"/>
  <c r="BO23" i="7" s="1"/>
  <c r="BN22" i="7"/>
  <c r="BN23" i="7" s="1"/>
  <c r="BM22" i="7"/>
  <c r="BM23" i="7" s="1"/>
  <c r="BL22" i="7"/>
  <c r="BL23" i="7" s="1"/>
  <c r="BK22" i="7"/>
  <c r="T15" i="4"/>
  <c r="C36" i="4"/>
  <c r="C15" i="4"/>
  <c r="V32" i="3"/>
  <c r="U32" i="3"/>
  <c r="T32" i="3"/>
  <c r="S32" i="3"/>
  <c r="R32" i="3"/>
  <c r="Q32" i="3"/>
  <c r="V15" i="3"/>
  <c r="U15" i="3"/>
  <c r="S15" i="3"/>
  <c r="R15" i="3"/>
  <c r="Q15" i="3"/>
  <c r="U15" i="7"/>
  <c r="T15" i="7"/>
  <c r="S15" i="7"/>
  <c r="R15" i="7"/>
  <c r="Q15" i="7"/>
  <c r="C29" i="9"/>
  <c r="C6" i="9"/>
  <c r="C11" i="9"/>
  <c r="C12" i="9"/>
  <c r="C35" i="4"/>
  <c r="C28" i="8"/>
  <c r="C14" i="8"/>
  <c r="C29" i="7"/>
  <c r="C28" i="7"/>
  <c r="C13" i="7"/>
  <c r="C15" i="7"/>
  <c r="C14" i="7"/>
  <c r="C5" i="7"/>
  <c r="C32" i="3"/>
  <c r="C15" i="3"/>
  <c r="BR22" i="7" l="1"/>
  <c r="BK23" i="7"/>
  <c r="BK8" i="9"/>
  <c r="BL8" i="9"/>
  <c r="BS8" i="9" s="1"/>
  <c r="BM8" i="9"/>
  <c r="BN8" i="9"/>
  <c r="BN9" i="9" s="1"/>
  <c r="BO8" i="9"/>
  <c r="BP8" i="9"/>
  <c r="BP9" i="9" s="1"/>
  <c r="BK9" i="9"/>
  <c r="BM9" i="9"/>
  <c r="BO9" i="9"/>
  <c r="BP28" i="4"/>
  <c r="BP29" i="4" s="1"/>
  <c r="BO28" i="4"/>
  <c r="BO29" i="4" s="1"/>
  <c r="BN28" i="4"/>
  <c r="BN29" i="4" s="1"/>
  <c r="BM28" i="4"/>
  <c r="BM29" i="4" s="1"/>
  <c r="BL28" i="4"/>
  <c r="BL29" i="4" s="1"/>
  <c r="BK28" i="4"/>
  <c r="BP7" i="3"/>
  <c r="BP8" i="3" s="1"/>
  <c r="BO7" i="3"/>
  <c r="BO8" i="3" s="1"/>
  <c r="BN7" i="3"/>
  <c r="BN8" i="3" s="1"/>
  <c r="BM7" i="3"/>
  <c r="BM8" i="3" s="1"/>
  <c r="BL7" i="3"/>
  <c r="BL8" i="3" s="1"/>
  <c r="BK7" i="3"/>
  <c r="BP23" i="3"/>
  <c r="BP24" i="3" s="1"/>
  <c r="BO23" i="3"/>
  <c r="BO24" i="3" s="1"/>
  <c r="BN23" i="3"/>
  <c r="BN24" i="3" s="1"/>
  <c r="BM23" i="3"/>
  <c r="BM24" i="3" s="1"/>
  <c r="BL23" i="3"/>
  <c r="BL24" i="3" s="1"/>
  <c r="BK23" i="3"/>
  <c r="BK24" i="3" s="1"/>
  <c r="BK27" i="9"/>
  <c r="BO28" i="9"/>
  <c r="BN28" i="9"/>
  <c r="BM28" i="9"/>
  <c r="BL28" i="9"/>
  <c r="BK28" i="9"/>
  <c r="BP27" i="9"/>
  <c r="BP28" i="9" s="1"/>
  <c r="BO27" i="9"/>
  <c r="BN27" i="9"/>
  <c r="BM27" i="9"/>
  <c r="BL27" i="9"/>
  <c r="V27" i="9"/>
  <c r="V28" i="9"/>
  <c r="V29" i="9"/>
  <c r="V30" i="9"/>
  <c r="V31" i="9"/>
  <c r="V32" i="9"/>
  <c r="V33" i="9"/>
  <c r="V34" i="9"/>
  <c r="V26" i="9"/>
  <c r="BR28" i="4" l="1"/>
  <c r="BS28" i="4"/>
  <c r="BK29" i="4"/>
  <c r="BS7" i="3"/>
  <c r="BR7" i="3"/>
  <c r="BK8" i="3"/>
  <c r="BL9" i="9"/>
  <c r="BS9" i="9" s="1"/>
  <c r="BR8" i="9"/>
  <c r="BS23" i="3"/>
  <c r="BR8" i="4"/>
  <c r="BS8" i="4"/>
  <c r="BR23" i="3"/>
  <c r="BS24" i="3"/>
  <c r="BS27" i="9"/>
  <c r="BR28" i="9"/>
  <c r="BS28" i="9"/>
  <c r="BR27" i="9"/>
  <c r="Q6" i="9"/>
  <c r="Q7" i="9"/>
  <c r="Q8" i="9"/>
  <c r="Q9" i="9"/>
  <c r="Q10" i="9"/>
  <c r="Q11" i="9"/>
  <c r="Q5" i="9"/>
  <c r="BL8" i="8"/>
  <c r="BK8" i="8"/>
  <c r="BP29" i="10"/>
  <c r="BN29" i="10"/>
  <c r="BL29" i="10"/>
  <c r="BL9" i="10"/>
  <c r="BK9" i="10"/>
  <c r="BK28" i="10"/>
  <c r="BK29" i="10" s="1"/>
  <c r="BS29" i="10" s="1"/>
  <c r="BP28" i="10"/>
  <c r="BO28" i="10"/>
  <c r="BO29" i="10" s="1"/>
  <c r="BN28" i="10"/>
  <c r="BM28" i="10"/>
  <c r="BM29" i="10" s="1"/>
  <c r="BL28" i="10"/>
  <c r="BP8" i="10"/>
  <c r="BP9" i="10" s="1"/>
  <c r="BO8" i="10"/>
  <c r="BO9" i="10" s="1"/>
  <c r="BN8" i="10"/>
  <c r="BN9" i="10" s="1"/>
  <c r="BM8" i="10"/>
  <c r="BM9" i="10" s="1"/>
  <c r="BL8" i="10"/>
  <c r="BK8" i="10"/>
  <c r="V7" i="10"/>
  <c r="C28" i="10"/>
  <c r="BP8" i="8"/>
  <c r="BO8" i="8"/>
  <c r="BN8" i="8"/>
  <c r="T14" i="4"/>
  <c r="C14" i="4"/>
  <c r="V31" i="3"/>
  <c r="U31" i="3"/>
  <c r="T31" i="3"/>
  <c r="S31" i="3"/>
  <c r="R31" i="3"/>
  <c r="Q31" i="3"/>
  <c r="C31" i="3"/>
  <c r="V14" i="3"/>
  <c r="U14" i="3"/>
  <c r="S14" i="3"/>
  <c r="R14" i="3"/>
  <c r="Q14" i="3"/>
  <c r="C14" i="3"/>
  <c r="U14" i="7"/>
  <c r="T14" i="7"/>
  <c r="S14" i="7"/>
  <c r="R14" i="7"/>
  <c r="Q14" i="7"/>
  <c r="BS8" i="10" l="1"/>
  <c r="BS8" i="3"/>
  <c r="BR8" i="3"/>
  <c r="BR28" i="10"/>
  <c r="BS29" i="4"/>
  <c r="BR29" i="4"/>
  <c r="BS28" i="10"/>
  <c r="BR8" i="10"/>
  <c r="BR9" i="9"/>
  <c r="BS9" i="4"/>
  <c r="BR9" i="4"/>
  <c r="BR24" i="3"/>
  <c r="BS9" i="10"/>
  <c r="BR9" i="10"/>
  <c r="BR29" i="10"/>
  <c r="BP22" i="8"/>
  <c r="BO22" i="8"/>
  <c r="BO23" i="8" s="1"/>
  <c r="BN22" i="8"/>
  <c r="BN23" i="8" s="1"/>
  <c r="BM22" i="8"/>
  <c r="BM23" i="8" s="1"/>
  <c r="BL22" i="8"/>
  <c r="BL23" i="8" s="1"/>
  <c r="BK22" i="8"/>
  <c r="BK23" i="8" s="1"/>
  <c r="BM8" i="8"/>
  <c r="BS22" i="7"/>
  <c r="BP23" i="8"/>
  <c r="BR23" i="7"/>
  <c r="U23" i="7"/>
  <c r="U24" i="7"/>
  <c r="R29" i="7"/>
  <c r="S29" i="7"/>
  <c r="T29" i="7"/>
  <c r="U29" i="7"/>
  <c r="V29" i="7"/>
  <c r="Q29" i="7"/>
  <c r="V13" i="7"/>
  <c r="U13" i="7"/>
  <c r="T13" i="7"/>
  <c r="S13" i="7"/>
  <c r="R13" i="7"/>
  <c r="Q13" i="7"/>
  <c r="V30" i="3"/>
  <c r="U30" i="3"/>
  <c r="T30" i="3"/>
  <c r="S30" i="3"/>
  <c r="R30" i="3"/>
  <c r="Q30" i="3"/>
  <c r="V13" i="3"/>
  <c r="U13" i="3"/>
  <c r="T13" i="3"/>
  <c r="S13" i="3"/>
  <c r="R13" i="3"/>
  <c r="Q13" i="3"/>
  <c r="C30" i="3"/>
  <c r="C13" i="3"/>
  <c r="C10" i="9"/>
  <c r="C33" i="10"/>
  <c r="C7" i="10"/>
  <c r="C32" i="10"/>
  <c r="C31" i="10"/>
  <c r="C30" i="10"/>
  <c r="C29" i="10"/>
  <c r="C27" i="4"/>
  <c r="C26" i="4"/>
  <c r="C6" i="4"/>
  <c r="C34" i="4"/>
  <c r="C33" i="4"/>
  <c r="C32" i="4"/>
  <c r="C31" i="4"/>
  <c r="C30" i="4"/>
  <c r="C29" i="4"/>
  <c r="C28" i="4"/>
  <c r="C5" i="4"/>
  <c r="C7" i="4"/>
  <c r="C8" i="4"/>
  <c r="C9" i="4"/>
  <c r="C10" i="4"/>
  <c r="C11" i="4"/>
  <c r="C12" i="4"/>
  <c r="C13" i="4"/>
  <c r="C34" i="9"/>
  <c r="C33" i="9"/>
  <c r="C32" i="9"/>
  <c r="C31" i="9"/>
  <c r="C30" i="9"/>
  <c r="C28" i="9"/>
  <c r="C27" i="9"/>
  <c r="C26" i="9"/>
  <c r="C7" i="9"/>
  <c r="C8" i="9"/>
  <c r="C9" i="9"/>
  <c r="C5" i="9"/>
  <c r="C27" i="10"/>
  <c r="C26" i="10"/>
  <c r="C6" i="10"/>
  <c r="C8" i="10"/>
  <c r="C9" i="10"/>
  <c r="C10" i="10"/>
  <c r="C11" i="10"/>
  <c r="C12" i="10"/>
  <c r="C13" i="10"/>
  <c r="C5" i="10"/>
  <c r="BS22" i="8" l="1"/>
  <c r="BS8" i="7"/>
  <c r="BR8" i="7"/>
  <c r="BR22" i="8"/>
  <c r="BS23" i="7"/>
  <c r="BS23" i="8"/>
  <c r="BR23" i="8"/>
  <c r="V28" i="7"/>
  <c r="U28" i="7"/>
  <c r="T28" i="7"/>
  <c r="S28" i="7"/>
  <c r="R28" i="7"/>
  <c r="Q28" i="7"/>
  <c r="V12" i="7"/>
  <c r="U12" i="7"/>
  <c r="T12" i="7"/>
  <c r="S12" i="7"/>
  <c r="R12" i="7"/>
  <c r="Q12" i="7"/>
  <c r="C11" i="7"/>
  <c r="C12" i="7"/>
  <c r="V29" i="3"/>
  <c r="U29" i="3"/>
  <c r="T29" i="3"/>
  <c r="S29" i="3"/>
  <c r="R29" i="3"/>
  <c r="Q29" i="3"/>
  <c r="V11" i="3"/>
  <c r="V12" i="3"/>
  <c r="U11" i="3"/>
  <c r="U12" i="3"/>
  <c r="T11" i="3"/>
  <c r="T12" i="3"/>
  <c r="S12" i="3"/>
  <c r="S11" i="3"/>
  <c r="R11" i="3"/>
  <c r="R12" i="3"/>
  <c r="Q11" i="3"/>
  <c r="Q12" i="3"/>
  <c r="C29" i="3"/>
  <c r="C12" i="3"/>
  <c r="C11" i="3"/>
  <c r="BS8" i="8" l="1"/>
  <c r="BS7" i="8"/>
  <c r="BR7" i="8"/>
  <c r="BR8" i="8" l="1"/>
  <c r="Q5" i="8" l="1"/>
  <c r="V13" i="8"/>
  <c r="U13" i="8"/>
  <c r="T13" i="8"/>
  <c r="S13" i="8"/>
  <c r="R13" i="8"/>
  <c r="Q13" i="8"/>
  <c r="V27" i="7"/>
  <c r="U27" i="7"/>
  <c r="T27" i="7"/>
  <c r="S27" i="7"/>
  <c r="R27" i="7"/>
  <c r="Q27" i="7"/>
  <c r="V11" i="7"/>
  <c r="U11" i="7"/>
  <c r="T11" i="7"/>
  <c r="S11" i="7"/>
  <c r="R11" i="7"/>
  <c r="Q11" i="7"/>
  <c r="V28" i="3"/>
  <c r="U28" i="3"/>
  <c r="T28" i="3"/>
  <c r="S28" i="3"/>
  <c r="R28" i="3"/>
  <c r="Q28" i="3"/>
  <c r="C13" i="8"/>
  <c r="C27" i="7"/>
  <c r="C26" i="7"/>
  <c r="C10" i="7"/>
  <c r="C28" i="3"/>
  <c r="Q28" i="8" l="1"/>
  <c r="R28" i="8"/>
  <c r="S28" i="8"/>
  <c r="T28" i="8"/>
  <c r="U28" i="8"/>
  <c r="V28" i="8"/>
  <c r="Q26" i="8"/>
  <c r="C12" i="8"/>
  <c r="C10" i="3"/>
  <c r="C27" i="3"/>
  <c r="R22" i="3" l="1"/>
  <c r="C25" i="7"/>
  <c r="C9" i="7"/>
  <c r="C8" i="7"/>
  <c r="C26" i="3"/>
  <c r="C9" i="3"/>
  <c r="C24" i="7"/>
  <c r="C25" i="3"/>
  <c r="C8" i="3"/>
  <c r="C26" i="8"/>
  <c r="C10" i="8"/>
  <c r="C25" i="8"/>
  <c r="C9" i="8"/>
  <c r="C8" i="8"/>
  <c r="C23" i="7"/>
  <c r="C7" i="7"/>
  <c r="C24" i="3"/>
  <c r="C24" i="8"/>
  <c r="C23" i="8"/>
  <c r="C7" i="8"/>
  <c r="C7" i="3"/>
  <c r="C6" i="3"/>
  <c r="C5" i="8"/>
  <c r="C22" i="8"/>
  <c r="C6" i="8"/>
  <c r="C22" i="7"/>
  <c r="C6" i="7"/>
  <c r="C23" i="3"/>
  <c r="C5" i="3"/>
  <c r="C21" i="8"/>
  <c r="C21" i="7"/>
  <c r="C22" i="3"/>
  <c r="V38" i="10"/>
  <c r="U38" i="10"/>
  <c r="T38" i="10"/>
  <c r="S38" i="10"/>
  <c r="R38" i="10"/>
  <c r="Q38" i="10"/>
  <c r="V37" i="10"/>
  <c r="U37" i="10"/>
  <c r="T37" i="10"/>
  <c r="S37" i="10"/>
  <c r="R37" i="10"/>
  <c r="Q37" i="10"/>
  <c r="V36" i="10"/>
  <c r="U36" i="10"/>
  <c r="T36" i="10"/>
  <c r="S36" i="10"/>
  <c r="R36" i="10"/>
  <c r="Q36" i="10"/>
  <c r="V35" i="10"/>
  <c r="U35" i="10"/>
  <c r="T35" i="10"/>
  <c r="S35" i="10"/>
  <c r="R35" i="10"/>
  <c r="Q35" i="10"/>
  <c r="V34" i="10"/>
  <c r="U34" i="10"/>
  <c r="T34" i="10"/>
  <c r="S34" i="10"/>
  <c r="R34" i="10"/>
  <c r="Q34" i="10"/>
  <c r="V33" i="10"/>
  <c r="U33" i="10"/>
  <c r="T33" i="10"/>
  <c r="S33" i="10"/>
  <c r="R33" i="10"/>
  <c r="Q33" i="10"/>
  <c r="V32" i="10"/>
  <c r="U32" i="10"/>
  <c r="T32" i="10"/>
  <c r="S32" i="10"/>
  <c r="R32" i="10"/>
  <c r="Q32" i="10"/>
  <c r="V31" i="10"/>
  <c r="U31" i="10"/>
  <c r="T31" i="10"/>
  <c r="S31" i="10"/>
  <c r="R31" i="10"/>
  <c r="Q31" i="10"/>
  <c r="V30" i="10"/>
  <c r="U30" i="10"/>
  <c r="T30" i="10"/>
  <c r="S30" i="10"/>
  <c r="R30" i="10"/>
  <c r="Q30" i="10"/>
  <c r="V29" i="10"/>
  <c r="U29" i="10"/>
  <c r="T29" i="10"/>
  <c r="S29" i="10"/>
  <c r="R29" i="10"/>
  <c r="Q29" i="10"/>
  <c r="V28" i="10"/>
  <c r="U28" i="10"/>
  <c r="T28" i="10"/>
  <c r="S28" i="10"/>
  <c r="R28" i="10"/>
  <c r="Q28" i="10"/>
  <c r="V27" i="10"/>
  <c r="U27" i="10"/>
  <c r="T27" i="10"/>
  <c r="S27" i="10"/>
  <c r="R27" i="10"/>
  <c r="Q27" i="10"/>
  <c r="V26" i="10"/>
  <c r="U26" i="10"/>
  <c r="T26" i="10"/>
  <c r="S26" i="10"/>
  <c r="R26" i="10"/>
  <c r="Q26" i="10"/>
  <c r="V17" i="10"/>
  <c r="U17" i="10"/>
  <c r="T17" i="10"/>
  <c r="S17" i="10"/>
  <c r="R17" i="10"/>
  <c r="Q17" i="10"/>
  <c r="V16" i="10"/>
  <c r="U16" i="10"/>
  <c r="T16" i="10"/>
  <c r="S16" i="10"/>
  <c r="R16" i="10"/>
  <c r="Q16" i="10"/>
  <c r="V15" i="10"/>
  <c r="U15" i="10"/>
  <c r="S15" i="10"/>
  <c r="R15" i="10"/>
  <c r="Q15" i="10"/>
  <c r="V14" i="10"/>
  <c r="U14" i="10"/>
  <c r="S14" i="10"/>
  <c r="R14" i="10"/>
  <c r="Q14" i="10"/>
  <c r="V13" i="10"/>
  <c r="U13" i="10"/>
  <c r="T13" i="10"/>
  <c r="S13" i="10"/>
  <c r="R13" i="10"/>
  <c r="Q13" i="10"/>
  <c r="V12" i="10"/>
  <c r="U12" i="10"/>
  <c r="T12" i="10"/>
  <c r="S12" i="10"/>
  <c r="R12" i="10"/>
  <c r="Q12" i="10"/>
  <c r="V11" i="10"/>
  <c r="U11" i="10"/>
  <c r="T11" i="10"/>
  <c r="S11" i="10"/>
  <c r="R11" i="10"/>
  <c r="Q11" i="10"/>
  <c r="V10" i="10"/>
  <c r="U10" i="10"/>
  <c r="T10" i="10"/>
  <c r="S10" i="10"/>
  <c r="R10" i="10"/>
  <c r="Q10" i="10"/>
  <c r="V9" i="10"/>
  <c r="U9" i="10"/>
  <c r="T9" i="10"/>
  <c r="S9" i="10"/>
  <c r="R9" i="10"/>
  <c r="Q9" i="10"/>
  <c r="V8" i="10"/>
  <c r="U8" i="10"/>
  <c r="T8" i="10"/>
  <c r="S8" i="10"/>
  <c r="R8" i="10"/>
  <c r="Q8" i="10"/>
  <c r="U7" i="10"/>
  <c r="T7" i="10"/>
  <c r="S7" i="10"/>
  <c r="R7" i="10"/>
  <c r="Q7" i="10"/>
  <c r="V6" i="10"/>
  <c r="U6" i="10"/>
  <c r="T6" i="10"/>
  <c r="S6" i="10"/>
  <c r="R6" i="10"/>
  <c r="Q6" i="10"/>
  <c r="V5" i="10"/>
  <c r="U5" i="10"/>
  <c r="T5" i="10"/>
  <c r="S5" i="10"/>
  <c r="R5" i="10"/>
  <c r="Q5" i="10"/>
  <c r="V38" i="9"/>
  <c r="U38" i="9"/>
  <c r="T38" i="9"/>
  <c r="S38" i="9"/>
  <c r="R38" i="9"/>
  <c r="Q38" i="9"/>
  <c r="V37" i="9"/>
  <c r="U37" i="9"/>
  <c r="T37" i="9"/>
  <c r="S37" i="9"/>
  <c r="R37" i="9"/>
  <c r="Q37" i="9"/>
  <c r="V36" i="9"/>
  <c r="U36" i="9"/>
  <c r="T36" i="9"/>
  <c r="S36" i="9"/>
  <c r="R36" i="9"/>
  <c r="Q36" i="9"/>
  <c r="V35" i="9"/>
  <c r="U35" i="9"/>
  <c r="T35" i="9"/>
  <c r="S35" i="9"/>
  <c r="R35" i="9"/>
  <c r="Q35" i="9"/>
  <c r="U34" i="9"/>
  <c r="T34" i="9"/>
  <c r="S34" i="9"/>
  <c r="R34" i="9"/>
  <c r="Q34" i="9"/>
  <c r="U33" i="9"/>
  <c r="T33" i="9"/>
  <c r="S33" i="9"/>
  <c r="R33" i="9"/>
  <c r="Q33" i="9"/>
  <c r="U32" i="9"/>
  <c r="T32" i="9"/>
  <c r="S32" i="9"/>
  <c r="R32" i="9"/>
  <c r="Q32" i="9"/>
  <c r="U31" i="9"/>
  <c r="T31" i="9"/>
  <c r="S31" i="9"/>
  <c r="R31" i="9"/>
  <c r="Q31" i="9"/>
  <c r="U30" i="9"/>
  <c r="T30" i="9"/>
  <c r="S30" i="9"/>
  <c r="R30" i="9"/>
  <c r="Q30" i="9"/>
  <c r="U29" i="9"/>
  <c r="T29" i="9"/>
  <c r="S29" i="9"/>
  <c r="R29" i="9"/>
  <c r="Q29" i="9"/>
  <c r="U28" i="9"/>
  <c r="T28" i="9"/>
  <c r="S28" i="9"/>
  <c r="R28" i="9"/>
  <c r="Q28" i="9"/>
  <c r="U27" i="9"/>
  <c r="T27" i="9"/>
  <c r="S27" i="9"/>
  <c r="R27" i="9"/>
  <c r="Q27" i="9"/>
  <c r="U26" i="9"/>
  <c r="T26" i="9"/>
  <c r="S26" i="9"/>
  <c r="R26" i="9"/>
  <c r="Q26" i="9"/>
  <c r="V17" i="9"/>
  <c r="U17" i="9"/>
  <c r="T17" i="9"/>
  <c r="S17" i="9"/>
  <c r="R17" i="9"/>
  <c r="Q17" i="9"/>
  <c r="V16" i="9"/>
  <c r="U16" i="9"/>
  <c r="T16" i="9"/>
  <c r="S16" i="9"/>
  <c r="R16" i="9"/>
  <c r="Q16" i="9"/>
  <c r="V15" i="9"/>
  <c r="U15" i="9"/>
  <c r="S15" i="9"/>
  <c r="R15" i="9"/>
  <c r="Q15" i="9"/>
  <c r="V14" i="9"/>
  <c r="U14" i="9"/>
  <c r="S14" i="9"/>
  <c r="R14" i="9"/>
  <c r="Q14" i="9"/>
  <c r="V13" i="9"/>
  <c r="U13" i="9"/>
  <c r="T13" i="9"/>
  <c r="S13" i="9"/>
  <c r="R13" i="9"/>
  <c r="Q13" i="9"/>
  <c r="V12" i="9"/>
  <c r="U12" i="9"/>
  <c r="T12" i="9"/>
  <c r="S12" i="9"/>
  <c r="R12" i="9"/>
  <c r="V11" i="9"/>
  <c r="U11" i="9"/>
  <c r="T11" i="9"/>
  <c r="S11" i="9"/>
  <c r="R11" i="9"/>
  <c r="V10" i="9"/>
  <c r="U10" i="9"/>
  <c r="T10" i="9"/>
  <c r="S10" i="9"/>
  <c r="R10" i="9"/>
  <c r="V9" i="9"/>
  <c r="U9" i="9"/>
  <c r="T9" i="9"/>
  <c r="S9" i="9"/>
  <c r="R9" i="9"/>
  <c r="V8" i="9"/>
  <c r="U8" i="9"/>
  <c r="T8" i="9"/>
  <c r="S8" i="9"/>
  <c r="R8" i="9"/>
  <c r="V7" i="9"/>
  <c r="U7" i="9"/>
  <c r="T7" i="9"/>
  <c r="S7" i="9"/>
  <c r="R7" i="9"/>
  <c r="V6" i="9"/>
  <c r="U6" i="9"/>
  <c r="T6" i="9"/>
  <c r="S6" i="9"/>
  <c r="R6" i="9"/>
  <c r="V5" i="9"/>
  <c r="U5" i="9"/>
  <c r="T5" i="9"/>
  <c r="S5" i="9"/>
  <c r="R5" i="9"/>
  <c r="V27" i="8"/>
  <c r="U27" i="8"/>
  <c r="T27" i="8"/>
  <c r="S27" i="8"/>
  <c r="R27" i="8"/>
  <c r="Q27" i="8"/>
  <c r="V26" i="8"/>
  <c r="U26" i="8"/>
  <c r="T26" i="8"/>
  <c r="S26" i="8"/>
  <c r="R26" i="8"/>
  <c r="V25" i="8"/>
  <c r="U25" i="8"/>
  <c r="T25" i="8"/>
  <c r="S25" i="8"/>
  <c r="R25" i="8"/>
  <c r="Q25" i="8"/>
  <c r="V24" i="8"/>
  <c r="U24" i="8"/>
  <c r="T24" i="8"/>
  <c r="S24" i="8"/>
  <c r="R24" i="8"/>
  <c r="Q24" i="8"/>
  <c r="V23" i="8"/>
  <c r="U23" i="8"/>
  <c r="T23" i="8"/>
  <c r="S23" i="8"/>
  <c r="R23" i="8"/>
  <c r="Q23" i="8"/>
  <c r="V22" i="8"/>
  <c r="U22" i="8"/>
  <c r="T22" i="8"/>
  <c r="S22" i="8"/>
  <c r="R22" i="8"/>
  <c r="Q22" i="8"/>
  <c r="V21" i="8"/>
  <c r="U21" i="8"/>
  <c r="T21" i="8"/>
  <c r="S21" i="8"/>
  <c r="R21" i="8"/>
  <c r="Q21" i="8"/>
  <c r="V12" i="8"/>
  <c r="U12" i="8"/>
  <c r="T12" i="8"/>
  <c r="S12" i="8"/>
  <c r="R12" i="8"/>
  <c r="Q12" i="8"/>
  <c r="V11" i="8"/>
  <c r="U11" i="8"/>
  <c r="T11" i="8"/>
  <c r="S11" i="8"/>
  <c r="R11" i="8"/>
  <c r="Q11" i="8"/>
  <c r="V10" i="8"/>
  <c r="U10" i="8"/>
  <c r="T10" i="8"/>
  <c r="S10" i="8"/>
  <c r="R10" i="8"/>
  <c r="Q10" i="8"/>
  <c r="V9" i="8"/>
  <c r="U9" i="8"/>
  <c r="T9" i="8"/>
  <c r="S9" i="8"/>
  <c r="R9" i="8"/>
  <c r="Q9" i="8"/>
  <c r="V8" i="8"/>
  <c r="U8" i="8"/>
  <c r="T8" i="8"/>
  <c r="S8" i="8"/>
  <c r="R8" i="8"/>
  <c r="Q8" i="8"/>
  <c r="V7" i="8"/>
  <c r="U7" i="8"/>
  <c r="T7" i="8"/>
  <c r="S7" i="8"/>
  <c r="R7" i="8"/>
  <c r="Q7" i="8"/>
  <c r="V6" i="8"/>
  <c r="U6" i="8"/>
  <c r="T6" i="8"/>
  <c r="S6" i="8"/>
  <c r="R6" i="8"/>
  <c r="Q6" i="8"/>
  <c r="V5" i="8"/>
  <c r="U5" i="8"/>
  <c r="T5" i="8"/>
  <c r="S5" i="8"/>
  <c r="R5" i="8"/>
  <c r="V26" i="7"/>
  <c r="U26" i="7"/>
  <c r="T26" i="7"/>
  <c r="S26" i="7"/>
  <c r="R26" i="7"/>
  <c r="Q26" i="7"/>
  <c r="V25" i="7"/>
  <c r="U25" i="7"/>
  <c r="T25" i="7"/>
  <c r="S25" i="7"/>
  <c r="R25" i="7"/>
  <c r="Q25" i="7"/>
  <c r="V24" i="7"/>
  <c r="T24" i="7"/>
  <c r="S24" i="7"/>
  <c r="R24" i="7"/>
  <c r="Q24" i="7"/>
  <c r="V23" i="7"/>
  <c r="T23" i="7"/>
  <c r="S23" i="7"/>
  <c r="R23" i="7"/>
  <c r="Q23" i="7"/>
  <c r="V22" i="7"/>
  <c r="U22" i="7"/>
  <c r="T22" i="7"/>
  <c r="S22" i="7"/>
  <c r="R22" i="7"/>
  <c r="Q22" i="7"/>
  <c r="V21" i="7"/>
  <c r="U21" i="7"/>
  <c r="T21" i="7"/>
  <c r="S21" i="7"/>
  <c r="R21" i="7"/>
  <c r="Q21" i="7"/>
  <c r="V10" i="7"/>
  <c r="U10" i="7"/>
  <c r="T10" i="7"/>
  <c r="S10" i="7"/>
  <c r="R10" i="7"/>
  <c r="Q10" i="7"/>
  <c r="V9" i="7"/>
  <c r="U9" i="7"/>
  <c r="T9" i="7"/>
  <c r="S9" i="7"/>
  <c r="R9" i="7"/>
  <c r="Q9" i="7"/>
  <c r="V8" i="7"/>
  <c r="U8" i="7"/>
  <c r="T8" i="7"/>
  <c r="S8" i="7"/>
  <c r="R8" i="7"/>
  <c r="Q8" i="7"/>
  <c r="V7" i="7"/>
  <c r="U7" i="7"/>
  <c r="T7" i="7"/>
  <c r="S7" i="7"/>
  <c r="R7" i="7"/>
  <c r="Q7" i="7"/>
  <c r="V6" i="7"/>
  <c r="U6" i="7"/>
  <c r="T6" i="7"/>
  <c r="S6" i="7"/>
  <c r="R6" i="7"/>
  <c r="Q6" i="7"/>
  <c r="V5" i="7"/>
  <c r="U5" i="7"/>
  <c r="T5" i="7"/>
  <c r="S5" i="7"/>
  <c r="R5" i="7"/>
  <c r="Q5" i="7"/>
  <c r="V38" i="4" l="1"/>
  <c r="U38" i="4"/>
  <c r="T38" i="4"/>
  <c r="S38" i="4"/>
  <c r="R38" i="4"/>
  <c r="Q38" i="4"/>
  <c r="V37" i="4"/>
  <c r="U37" i="4"/>
  <c r="T37" i="4"/>
  <c r="S37" i="4"/>
  <c r="R37" i="4"/>
  <c r="Q37" i="4"/>
  <c r="V36" i="4"/>
  <c r="U36" i="4"/>
  <c r="T36" i="4"/>
  <c r="S36" i="4"/>
  <c r="R36" i="4"/>
  <c r="Q36" i="4"/>
  <c r="V35" i="4"/>
  <c r="U35" i="4"/>
  <c r="T35" i="4"/>
  <c r="S35" i="4"/>
  <c r="R35" i="4"/>
  <c r="Q35" i="4"/>
  <c r="V34" i="4"/>
  <c r="U34" i="4"/>
  <c r="T34" i="4"/>
  <c r="S34" i="4"/>
  <c r="R34" i="4"/>
  <c r="Q34" i="4"/>
  <c r="V33" i="4"/>
  <c r="U33" i="4"/>
  <c r="T33" i="4"/>
  <c r="S33" i="4"/>
  <c r="R33" i="4"/>
  <c r="Q33" i="4"/>
  <c r="V32" i="4"/>
  <c r="U32" i="4"/>
  <c r="T32" i="4"/>
  <c r="S32" i="4"/>
  <c r="R32" i="4"/>
  <c r="Q32" i="4"/>
  <c r="V31" i="4"/>
  <c r="U31" i="4"/>
  <c r="T31" i="4"/>
  <c r="S31" i="4"/>
  <c r="R31" i="4"/>
  <c r="Q31" i="4"/>
  <c r="V30" i="4"/>
  <c r="U30" i="4"/>
  <c r="T30" i="4"/>
  <c r="S30" i="4"/>
  <c r="R30" i="4"/>
  <c r="Q30" i="4"/>
  <c r="V29" i="4"/>
  <c r="U29" i="4"/>
  <c r="T29" i="4"/>
  <c r="S29" i="4"/>
  <c r="R29" i="4"/>
  <c r="Q29" i="4"/>
  <c r="V28" i="4"/>
  <c r="U28" i="4"/>
  <c r="T28" i="4"/>
  <c r="S28" i="4"/>
  <c r="R28" i="4"/>
  <c r="Q28" i="4"/>
  <c r="V27" i="4"/>
  <c r="U27" i="4"/>
  <c r="T27" i="4"/>
  <c r="S27" i="4"/>
  <c r="R27" i="4"/>
  <c r="Q27" i="4"/>
  <c r="V26" i="4"/>
  <c r="U26" i="4"/>
  <c r="T26" i="4"/>
  <c r="S26" i="4"/>
  <c r="R26" i="4"/>
  <c r="Q26" i="4"/>
  <c r="V17" i="4"/>
  <c r="U17" i="4"/>
  <c r="T17" i="4"/>
  <c r="S17" i="4"/>
  <c r="R17" i="4"/>
  <c r="Q17" i="4"/>
  <c r="V16" i="4"/>
  <c r="U16" i="4"/>
  <c r="T16" i="4"/>
  <c r="S16" i="4"/>
  <c r="R16" i="4"/>
  <c r="Q16" i="4"/>
  <c r="V15" i="4"/>
  <c r="U15" i="4"/>
  <c r="S15" i="4"/>
  <c r="R15" i="4"/>
  <c r="Q15" i="4"/>
  <c r="V14" i="4"/>
  <c r="U14" i="4"/>
  <c r="S14" i="4"/>
  <c r="R14" i="4"/>
  <c r="Q14" i="4"/>
  <c r="V13" i="4"/>
  <c r="U13" i="4"/>
  <c r="T13" i="4"/>
  <c r="S13" i="4"/>
  <c r="R13" i="4"/>
  <c r="Q13" i="4"/>
  <c r="V12" i="4"/>
  <c r="U12" i="4"/>
  <c r="T12" i="4"/>
  <c r="S12" i="4"/>
  <c r="R12" i="4"/>
  <c r="Q12" i="4"/>
  <c r="V11" i="4"/>
  <c r="U11" i="4"/>
  <c r="T11" i="4"/>
  <c r="S11" i="4"/>
  <c r="R11" i="4"/>
  <c r="Q11" i="4"/>
  <c r="V10" i="4"/>
  <c r="U10" i="4"/>
  <c r="T10" i="4"/>
  <c r="S10" i="4"/>
  <c r="R10" i="4"/>
  <c r="Q10" i="4"/>
  <c r="V9" i="4"/>
  <c r="U9" i="4"/>
  <c r="T9" i="4"/>
  <c r="S9" i="4"/>
  <c r="R9" i="4"/>
  <c r="Q9" i="4"/>
  <c r="V8" i="4"/>
  <c r="U8" i="4"/>
  <c r="T8" i="4"/>
  <c r="S8" i="4"/>
  <c r="R8" i="4"/>
  <c r="Q8" i="4"/>
  <c r="V7" i="4"/>
  <c r="U7" i="4"/>
  <c r="T7" i="4"/>
  <c r="S7" i="4"/>
  <c r="R7" i="4"/>
  <c r="Q7" i="4"/>
  <c r="V6" i="4"/>
  <c r="U6" i="4"/>
  <c r="T6" i="4"/>
  <c r="S6" i="4"/>
  <c r="R6" i="4"/>
  <c r="Q6" i="4"/>
  <c r="V5" i="4"/>
  <c r="U5" i="4"/>
  <c r="T5" i="4"/>
  <c r="S5" i="4"/>
  <c r="R5" i="4"/>
  <c r="Q5" i="4"/>
  <c r="V27" i="3"/>
  <c r="U27" i="3"/>
  <c r="T27" i="3"/>
  <c r="S27" i="3"/>
  <c r="R27" i="3"/>
  <c r="Q27" i="3"/>
  <c r="V26" i="3" l="1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T22" i="3"/>
  <c r="Q22" i="3"/>
  <c r="V10" i="3"/>
  <c r="U10" i="3"/>
  <c r="T10" i="3"/>
  <c r="S10" i="3"/>
  <c r="R10" i="3"/>
  <c r="Q10" i="3"/>
  <c r="V9" i="3"/>
  <c r="U9" i="3"/>
  <c r="T9" i="3"/>
  <c r="S9" i="3"/>
  <c r="R9" i="3"/>
  <c r="Q9" i="3"/>
  <c r="V8" i="3"/>
  <c r="U8" i="3"/>
  <c r="T8" i="3"/>
  <c r="S8" i="3"/>
  <c r="R8" i="3"/>
  <c r="Q8" i="3"/>
  <c r="V7" i="3"/>
  <c r="U7" i="3"/>
  <c r="T7" i="3"/>
  <c r="S7" i="3"/>
  <c r="R7" i="3"/>
  <c r="Q7" i="3"/>
  <c r="V6" i="3"/>
  <c r="U6" i="3"/>
  <c r="T6" i="3"/>
  <c r="S6" i="3"/>
  <c r="R6" i="3"/>
  <c r="Q6" i="3"/>
  <c r="V5" i="3"/>
  <c r="U5" i="3"/>
  <c r="T5" i="3"/>
  <c r="S5" i="3"/>
  <c r="R5" i="3"/>
  <c r="Q5" i="3"/>
</calcChain>
</file>

<file path=xl/sharedStrings.xml><?xml version="1.0" encoding="utf-8"?>
<sst xmlns="http://schemas.openxmlformats.org/spreadsheetml/2006/main" count="715" uniqueCount="95">
  <si>
    <t>Day</t>
  </si>
  <si>
    <t>Fusarium sambucinum</t>
  </si>
  <si>
    <t>Fusarium oxysporum</t>
  </si>
  <si>
    <t>PARAMETER</t>
  </si>
  <si>
    <t>Average</t>
  </si>
  <si>
    <t>STD</t>
  </si>
  <si>
    <r>
      <t>µm (</t>
    </r>
    <r>
      <rPr>
        <b/>
        <i/>
        <sz val="11"/>
        <color theme="1"/>
        <rFont val="Calibri"/>
        <family val="2"/>
        <scheme val="minor"/>
      </rPr>
      <t>mm diameter/day</t>
    </r>
    <r>
      <rPr>
        <b/>
        <sz val="11"/>
        <color theme="1"/>
        <rFont val="Calibri"/>
        <family val="2"/>
        <scheme val="minor"/>
      </rPr>
      <t>)</t>
    </r>
  </si>
  <si>
    <r>
      <t>λ (</t>
    </r>
    <r>
      <rPr>
        <b/>
        <i/>
        <sz val="11"/>
        <color theme="1"/>
        <rFont val="Calibri"/>
        <family val="2"/>
        <scheme val="minor"/>
      </rPr>
      <t>days</t>
    </r>
    <r>
      <rPr>
        <b/>
        <sz val="11"/>
        <color theme="1"/>
        <rFont val="Calibri"/>
        <family val="2"/>
        <scheme val="minor"/>
      </rPr>
      <t>)</t>
    </r>
  </si>
  <si>
    <t>Temperature</t>
  </si>
  <si>
    <t>Water activity</t>
  </si>
  <si>
    <t>Pathogen</t>
  </si>
  <si>
    <t>Lag time</t>
  </si>
  <si>
    <t>Growth rate</t>
  </si>
  <si>
    <t>20.:00</t>
  </si>
  <si>
    <t>CONTAMINATED</t>
  </si>
  <si>
    <t>x= y +</t>
  </si>
  <si>
    <t>y</t>
  </si>
  <si>
    <t>=</t>
  </si>
  <si>
    <t>-</t>
  </si>
  <si>
    <t>5.8166x</t>
  </si>
  <si>
    <t>5.8552x</t>
  </si>
  <si>
    <t>5.8544x</t>
  </si>
  <si>
    <t>5.6595x</t>
  </si>
  <si>
    <t>5.6134x</t>
  </si>
  <si>
    <t>5.5683x</t>
  </si>
  <si>
    <t>+</t>
  </si>
  <si>
    <t>y = 7.1118x + 1.3373</t>
  </si>
  <si>
    <t>y = 7.0778x + 0.7656</t>
  </si>
  <si>
    <t>y = 7.1038x + 1.7066</t>
  </si>
  <si>
    <t>y = 7.1662x + 3.6398</t>
  </si>
  <si>
    <t>y = 6.9938x + 3.0479</t>
  </si>
  <si>
    <t>y = 6.9772x + 4.29</t>
  </si>
  <si>
    <t>y = 2.9066x - 10.713</t>
  </si>
  <si>
    <t>y = 2.7949x - 6.648</t>
  </si>
  <si>
    <t>y = 3.0707x - 8.8249</t>
  </si>
  <si>
    <t>y = 3.0839x + 3.571</t>
  </si>
  <si>
    <t>y = 2.6566x - 7.2062</t>
  </si>
  <si>
    <t>= 2.9843x + 3.4791</t>
  </si>
  <si>
    <t>5C</t>
  </si>
  <si>
    <t>10C</t>
  </si>
  <si>
    <t>15C</t>
  </si>
  <si>
    <t>mm of diameter/day</t>
  </si>
  <si>
    <t>Days</t>
  </si>
  <si>
    <t>LOST</t>
  </si>
  <si>
    <t>DONE because contamination is starting to appear</t>
  </si>
  <si>
    <t>y=</t>
  </si>
  <si>
    <t>y = 1.7095x - 20.999</t>
  </si>
  <si>
    <t>y = 1.5623x - 17.568</t>
  </si>
  <si>
    <t>y = 1.6101x - 18.086</t>
  </si>
  <si>
    <t>y = 2.324x - 16.93</t>
  </si>
  <si>
    <t>y = 2.3733x - 17.307</t>
  </si>
  <si>
    <t>y = 2.3245x - 17.591</t>
  </si>
  <si>
    <t>y = 2.4212x - 19.555</t>
  </si>
  <si>
    <t>y = 2.4021x - 18.508</t>
  </si>
  <si>
    <t>y = 2.4661x - 15.196</t>
  </si>
  <si>
    <t>Squared growth rate</t>
  </si>
  <si>
    <t>Squared lag time</t>
  </si>
  <si>
    <t>4.5C</t>
  </si>
  <si>
    <t>8.5C</t>
  </si>
  <si>
    <t>GROWTH RATE</t>
  </si>
  <si>
    <t>LAG TIME</t>
  </si>
  <si>
    <t>Normality</t>
  </si>
  <si>
    <t xml:space="preserve">All </t>
  </si>
  <si>
    <t>Homocedasticity</t>
  </si>
  <si>
    <t>Fs sambucinum</t>
  </si>
  <si>
    <t>Fs oxysporum</t>
  </si>
  <si>
    <t>Ɣ</t>
  </si>
  <si>
    <t>µm</t>
  </si>
  <si>
    <t>X</t>
  </si>
  <si>
    <t>X = Homocedasticity</t>
  </si>
  <si>
    <t>Between aw</t>
  </si>
  <si>
    <t>Between Temperature</t>
  </si>
  <si>
    <t>Significant differences</t>
  </si>
  <si>
    <t>If Normalitity + Homocedasticity</t>
  </si>
  <si>
    <t>ANOVA</t>
  </si>
  <si>
    <t>Sig differences</t>
  </si>
  <si>
    <t>T student</t>
  </si>
  <si>
    <t>If Normality only</t>
  </si>
  <si>
    <t>Chi SQuare (Non parametric)</t>
  </si>
  <si>
    <t>Wilcoxon for each pair comparison</t>
  </si>
  <si>
    <t xml:space="preserve">Significant differences were found on growht rate between temperatures. </t>
  </si>
  <si>
    <t>Significant differences between 5 and 10, and 5 and 15 on lag time. However no significant differences were found between 8.5C and 15C on lag time. Being higher at 4.5C compared to the other two temperatures</t>
  </si>
  <si>
    <t>Significant differences were found on lag time between temperatures.</t>
  </si>
  <si>
    <t>T student or Tukey</t>
  </si>
  <si>
    <t>Significant differences were found between both aw in growth rate</t>
  </si>
  <si>
    <t>No significant differences were found between aw in lag time. Aw was not affecting the lag time of Fusarium sambucinum</t>
  </si>
  <si>
    <t>um</t>
  </si>
  <si>
    <t>Lambda</t>
  </si>
  <si>
    <t>Significant differences were found between both aw in lag time</t>
  </si>
  <si>
    <t>No significatn differences were found between both aw.</t>
  </si>
  <si>
    <t xml:space="preserve">Between Fusarium spp. </t>
  </si>
  <si>
    <t>In general terms, significant differences were found between Fusarium sambucinum and oxysporum. Fusrium sambucinum presented a larger growth rate than Fusarium oxysporum</t>
  </si>
  <si>
    <t xml:space="preserve">However, when analysing the lag time we realised that Fusarium sambucinum presented higher lag time, then longer it was taking to start growing than Fusarium oxysporum.  </t>
  </si>
  <si>
    <t>F. oxysporum</t>
  </si>
  <si>
    <t>F. sambucinum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</si>
</sst>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1" fillId="0" borderId="0" xfId="0" applyFont="1"/>
    <xf numFmtId="0" fontId="2" fillId="0" borderId="0" xfId="1"/>
    <xf numFmtId="0" fontId="4" fillId="0" borderId="0" xfId="1" applyFont="1" applyAlignment="1">
      <alignment horizontal="center" vertical="center"/>
    </xf>
    <xf numFmtId="0" fontId="4" fillId="3" borderId="0" xfId="0" applyFont="1" applyFill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0" borderId="0" xfId="0" applyFont="1"/>
    <xf numFmtId="0" fontId="2" fillId="0" borderId="4" xfId="0" applyFont="1" applyBorder="1" applyAlignment="1">
      <alignment horizontal="center"/>
    </xf>
    <xf numFmtId="0" fontId="0" fillId="0" borderId="4" xfId="0" applyBorder="1"/>
    <xf numFmtId="9" fontId="3" fillId="0" borderId="0" xfId="1" applyNumberFormat="1" applyFont="1"/>
    <xf numFmtId="0" fontId="3" fillId="0" borderId="0" xfId="1" applyFont="1"/>
    <xf numFmtId="20" fontId="4" fillId="0" borderId="0" xfId="1" applyNumberFormat="1" applyFont="1" applyAlignment="1">
      <alignment horizontal="center" vertical="center"/>
    </xf>
    <xf numFmtId="0" fontId="1" fillId="2" borderId="0" xfId="0" applyFont="1" applyFill="1"/>
    <xf numFmtId="0" fontId="6" fillId="2" borderId="0" xfId="0" applyFont="1" applyFill="1"/>
    <xf numFmtId="0" fontId="0" fillId="2" borderId="0" xfId="0" applyFill="1"/>
    <xf numFmtId="20" fontId="1" fillId="0" borderId="0" xfId="0" applyNumberFormat="1" applyFont="1"/>
    <xf numFmtId="0" fontId="0" fillId="2" borderId="0" xfId="0" applyFill="1" applyAlignment="1">
      <alignment horizontal="center"/>
    </xf>
    <xf numFmtId="20" fontId="0" fillId="0" borderId="0" xfId="0" applyNumberFormat="1"/>
    <xf numFmtId="2" fontId="4" fillId="0" borderId="0" xfId="1" applyNumberFormat="1" applyFont="1" applyAlignment="1">
      <alignment horizontal="center" vertical="center"/>
    </xf>
    <xf numFmtId="0" fontId="0" fillId="0" borderId="0" xfId="0" applyAlignment="1">
      <alignment wrapText="1"/>
    </xf>
    <xf numFmtId="2" fontId="0" fillId="0" borderId="0" xfId="0" applyNumberFormat="1"/>
    <xf numFmtId="0" fontId="2" fillId="0" borderId="0" xfId="0" applyFont="1" applyAlignment="1">
      <alignment horizontal="center"/>
    </xf>
    <xf numFmtId="0" fontId="2" fillId="4" borderId="0" xfId="1" applyFill="1"/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5" borderId="0" xfId="0" applyFill="1"/>
    <xf numFmtId="0" fontId="8" fillId="0" borderId="4" xfId="0" applyFont="1" applyBorder="1"/>
    <xf numFmtId="0" fontId="1" fillId="6" borderId="0" xfId="0" applyFont="1" applyFill="1"/>
    <xf numFmtId="0" fontId="0" fillId="6" borderId="0" xfId="0" applyFill="1"/>
    <xf numFmtId="0" fontId="0" fillId="0" borderId="7" xfId="0" applyBorder="1"/>
    <xf numFmtId="0" fontId="0" fillId="0" borderId="8" xfId="0" applyBorder="1"/>
    <xf numFmtId="0" fontId="8" fillId="0" borderId="0" xfId="0" applyFont="1"/>
    <xf numFmtId="0" fontId="4" fillId="3" borderId="3" xfId="1" applyFont="1" applyFill="1" applyBorder="1" applyAlignment="1">
      <alignment horizontal="center"/>
    </xf>
    <xf numFmtId="0" fontId="4" fillId="3" borderId="2" xfId="1" applyFont="1" applyFill="1" applyBorder="1" applyAlignment="1">
      <alignment horizontal="center"/>
    </xf>
    <xf numFmtId="0" fontId="4" fillId="3" borderId="1" xfId="1" applyFont="1" applyFill="1" applyBorder="1" applyAlignment="1">
      <alignment horizontal="center"/>
    </xf>
    <xf numFmtId="164" fontId="4" fillId="3" borderId="1" xfId="1" applyNumberFormat="1" applyFont="1" applyFill="1" applyBorder="1" applyAlignment="1">
      <alignment horizontal="center"/>
    </xf>
    <xf numFmtId="164" fontId="4" fillId="3" borderId="2" xfId="1" applyNumberFormat="1" applyFont="1" applyFill="1" applyBorder="1" applyAlignment="1">
      <alignment horizontal="center"/>
    </xf>
    <xf numFmtId="2" fontId="4" fillId="3" borderId="3" xfId="1" applyNumberFormat="1" applyFont="1" applyFill="1" applyBorder="1" applyAlignment="1">
      <alignment horizontal="center"/>
    </xf>
    <xf numFmtId="2" fontId="4" fillId="3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1" applyFont="1" applyAlignment="1">
      <alignment horizontal="center"/>
    </xf>
    <xf numFmtId="0" fontId="0" fillId="7" borderId="0" xfId="0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6" borderId="5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6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7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8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9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0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1.xml"/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2.xml"/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3.xml"/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4.xml"/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5.xml"/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6.xml"/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7.xml"/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8.xml"/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9.xml"/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0.xml"/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1.xml"/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2.xml"/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3.xml"/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4.xml"/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5.xml"/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6.xml"/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7.xml"/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8.xml"/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9.xml"/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0.xml"/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1.xml"/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2.xml"/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89.xml"/><Relationship Id="rId1" Type="http://schemas.microsoft.com/office/2011/relationships/chartStyle" Target="style89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0.xml.rels><?xml version="1.0" encoding="UTF-8" standalone="yes"?>
<Relationships xmlns="http://schemas.openxmlformats.org/package/2006/relationships"><Relationship Id="rId2" Type="http://schemas.microsoft.com/office/2011/relationships/chartColorStyle" Target="colors90.xml"/><Relationship Id="rId1" Type="http://schemas.microsoft.com/office/2011/relationships/chartStyle" Target="style90.xml"/></Relationships>
</file>

<file path=xl/charts/_rels/chart91.xml.rels><?xml version="1.0" encoding="UTF-8" standalone="yes"?>
<Relationships xmlns="http://schemas.openxmlformats.org/package/2006/relationships"><Relationship Id="rId2" Type="http://schemas.microsoft.com/office/2011/relationships/chartColorStyle" Target="colors91.xml"/><Relationship Id="rId1" Type="http://schemas.microsoft.com/office/2011/relationships/chartStyle" Target="style91.xml"/></Relationships>
</file>

<file path=xl/charts/_rels/chart92.xml.rels><?xml version="1.0" encoding="UTF-8" standalone="yes"?>
<Relationships xmlns="http://schemas.openxmlformats.org/package/2006/relationships"><Relationship Id="rId2" Type="http://schemas.microsoft.com/office/2011/relationships/chartColorStyle" Target="colors92.xml"/><Relationship Id="rId1" Type="http://schemas.microsoft.com/office/2011/relationships/chartStyle" Target="style9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349924387100933E-2"/>
                  <c:y val="-0.184203003261608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5C'!$C$12:$C$18</c:f>
              <c:numCache>
                <c:formatCode>General</c:formatCode>
                <c:ptCount val="7"/>
                <c:pt idx="0">
                  <c:v>17.197916666666668</c:v>
                </c:pt>
                <c:pt idx="1">
                  <c:v>20.083333333333332</c:v>
                </c:pt>
                <c:pt idx="2">
                  <c:v>22.229166666666668</c:v>
                </c:pt>
                <c:pt idx="3">
                  <c:v>24.229166666666668</c:v>
                </c:pt>
                <c:pt idx="4">
                  <c:v>26.291666666666668</c:v>
                </c:pt>
                <c:pt idx="5">
                  <c:v>29.020833333333332</c:v>
                </c:pt>
                <c:pt idx="6">
                  <c:v>30.875</c:v>
                </c:pt>
              </c:numCache>
            </c:numRef>
          </c:xVal>
          <c:yVal>
            <c:numRef>
              <c:f>'F. sambucinum 5C'!$Q$12:$Q$18</c:f>
              <c:numCache>
                <c:formatCode>General</c:formatCode>
                <c:ptCount val="7"/>
                <c:pt idx="0">
                  <c:v>9.5</c:v>
                </c:pt>
                <c:pt idx="1">
                  <c:v>13</c:v>
                </c:pt>
                <c:pt idx="2">
                  <c:v>16</c:v>
                </c:pt>
                <c:pt idx="3">
                  <c:v>20</c:v>
                </c:pt>
                <c:pt idx="4">
                  <c:v>24</c:v>
                </c:pt>
                <c:pt idx="5">
                  <c:v>28.5</c:v>
                </c:pt>
                <c:pt idx="6">
                  <c:v>32.5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246104"/>
        <c:axId val="227245712"/>
      </c:scatterChart>
      <c:valAx>
        <c:axId val="227246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245712"/>
        <c:crosses val="autoZero"/>
        <c:crossBetween val="midCat"/>
      </c:valAx>
      <c:valAx>
        <c:axId val="22724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246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831161939857581"/>
                  <c:y val="-0.189863375386532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5C'!$C$26:$C$35</c:f>
              <c:numCache>
                <c:formatCode>General</c:formatCode>
                <c:ptCount val="10"/>
                <c:pt idx="0">
                  <c:v>10.233333333333333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17.197916666666668</c:v>
                </c:pt>
                <c:pt idx="4">
                  <c:v>20.083333333333332</c:v>
                </c:pt>
                <c:pt idx="5">
                  <c:v>22.229166666666668</c:v>
                </c:pt>
                <c:pt idx="6">
                  <c:v>24.229166666666668</c:v>
                </c:pt>
                <c:pt idx="7">
                  <c:v>26.291666666666668</c:v>
                </c:pt>
                <c:pt idx="8">
                  <c:v>29.020833333333332</c:v>
                </c:pt>
                <c:pt idx="9">
                  <c:v>30.875</c:v>
                </c:pt>
              </c:numCache>
            </c:numRef>
          </c:xVal>
          <c:yVal>
            <c:numRef>
              <c:f>'F. sambucinum 5C'!$T$26:$T$35</c:f>
              <c:numCache>
                <c:formatCode>General</c:formatCode>
                <c:ptCount val="10"/>
                <c:pt idx="0">
                  <c:v>8.5</c:v>
                </c:pt>
                <c:pt idx="1">
                  <c:v>12</c:v>
                </c:pt>
                <c:pt idx="2">
                  <c:v>15</c:v>
                </c:pt>
                <c:pt idx="3">
                  <c:v>20.5</c:v>
                </c:pt>
                <c:pt idx="4">
                  <c:v>28</c:v>
                </c:pt>
                <c:pt idx="5">
                  <c:v>33</c:v>
                </c:pt>
                <c:pt idx="6">
                  <c:v>40</c:v>
                </c:pt>
                <c:pt idx="7">
                  <c:v>45</c:v>
                </c:pt>
                <c:pt idx="8">
                  <c:v>51.5</c:v>
                </c:pt>
                <c:pt idx="9">
                  <c:v>55.5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83128"/>
        <c:axId val="226676440"/>
      </c:scatterChart>
      <c:valAx>
        <c:axId val="133383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6440"/>
        <c:crosses val="autoZero"/>
        <c:crossBetween val="midCat"/>
      </c:valAx>
      <c:valAx>
        <c:axId val="226676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3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1685605068602656E-2"/>
                  <c:y val="-0.1730005724684149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5C'!$C$26:$C$35</c:f>
              <c:numCache>
                <c:formatCode>General</c:formatCode>
                <c:ptCount val="10"/>
                <c:pt idx="0">
                  <c:v>10.233333333333333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17.197916666666668</c:v>
                </c:pt>
                <c:pt idx="4">
                  <c:v>20.083333333333332</c:v>
                </c:pt>
                <c:pt idx="5">
                  <c:v>22.229166666666668</c:v>
                </c:pt>
                <c:pt idx="6">
                  <c:v>24.229166666666668</c:v>
                </c:pt>
                <c:pt idx="7">
                  <c:v>26.291666666666668</c:v>
                </c:pt>
                <c:pt idx="8">
                  <c:v>29.020833333333332</c:v>
                </c:pt>
                <c:pt idx="9">
                  <c:v>30.875</c:v>
                </c:pt>
              </c:numCache>
            </c:numRef>
          </c:xVal>
          <c:yVal>
            <c:numRef>
              <c:f>'F. sambucinum 5C'!$U$26:$U$35</c:f>
              <c:numCache>
                <c:formatCode>General</c:formatCode>
                <c:ptCount val="10"/>
                <c:pt idx="0">
                  <c:v>9</c:v>
                </c:pt>
                <c:pt idx="1">
                  <c:v>12.5</c:v>
                </c:pt>
                <c:pt idx="2">
                  <c:v>16</c:v>
                </c:pt>
                <c:pt idx="3">
                  <c:v>21.5</c:v>
                </c:pt>
                <c:pt idx="4">
                  <c:v>29.5</c:v>
                </c:pt>
                <c:pt idx="5">
                  <c:v>34</c:v>
                </c:pt>
                <c:pt idx="6">
                  <c:v>40</c:v>
                </c:pt>
                <c:pt idx="7">
                  <c:v>45</c:v>
                </c:pt>
                <c:pt idx="8">
                  <c:v>51.5</c:v>
                </c:pt>
                <c:pt idx="9">
                  <c:v>56.5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7224"/>
        <c:axId val="226677616"/>
      </c:scatterChart>
      <c:valAx>
        <c:axId val="226677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7616"/>
        <c:crosses val="autoZero"/>
        <c:crossBetween val="midCat"/>
      </c:valAx>
      <c:valAx>
        <c:axId val="22667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7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850568152058079"/>
                  <c:y val="-0.1842029053951100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5C'!$C$26:$C$35</c:f>
              <c:numCache>
                <c:formatCode>General</c:formatCode>
                <c:ptCount val="10"/>
                <c:pt idx="0">
                  <c:v>10.233333333333333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17.197916666666668</c:v>
                </c:pt>
                <c:pt idx="4">
                  <c:v>20.083333333333332</c:v>
                </c:pt>
                <c:pt idx="5">
                  <c:v>22.229166666666668</c:v>
                </c:pt>
                <c:pt idx="6">
                  <c:v>24.229166666666668</c:v>
                </c:pt>
                <c:pt idx="7">
                  <c:v>26.291666666666668</c:v>
                </c:pt>
                <c:pt idx="8">
                  <c:v>29.020833333333332</c:v>
                </c:pt>
                <c:pt idx="9">
                  <c:v>30.875</c:v>
                </c:pt>
              </c:numCache>
            </c:numRef>
          </c:xVal>
          <c:yVal>
            <c:numRef>
              <c:f>'F. sambucinum 5C'!$V$27:$V$35</c:f>
              <c:numCache>
                <c:formatCode>General</c:formatCode>
                <c:ptCount val="9"/>
                <c:pt idx="0">
                  <c:v>12</c:v>
                </c:pt>
                <c:pt idx="1">
                  <c:v>16</c:v>
                </c:pt>
                <c:pt idx="2">
                  <c:v>20.5</c:v>
                </c:pt>
                <c:pt idx="3">
                  <c:v>28</c:v>
                </c:pt>
                <c:pt idx="4">
                  <c:v>33.5</c:v>
                </c:pt>
                <c:pt idx="5">
                  <c:v>38.5</c:v>
                </c:pt>
                <c:pt idx="6">
                  <c:v>45</c:v>
                </c:pt>
                <c:pt idx="7">
                  <c:v>52</c:v>
                </c:pt>
                <c:pt idx="8">
                  <c:v>55.5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8400"/>
        <c:axId val="226678792"/>
      </c:scatterChart>
      <c:valAx>
        <c:axId val="226678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8792"/>
        <c:crosses val="autoZero"/>
        <c:crossBetween val="midCat"/>
      </c:valAx>
      <c:valAx>
        <c:axId val="22667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8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909584356113562"/>
                  <c:y val="-0.203139538120193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10C'!$C$8:$C$17</c:f>
              <c:numCache>
                <c:formatCode>General</c:formatCode>
                <c:ptCount val="10"/>
                <c:pt idx="0">
                  <c:v>8.0416666666666661</c:v>
                </c:pt>
                <c:pt idx="1">
                  <c:v>10.041666666666666</c:v>
                </c:pt>
                <c:pt idx="2">
                  <c:v>12.84375</c:v>
                </c:pt>
                <c:pt idx="3">
                  <c:v>15.041666666666666</c:v>
                </c:pt>
                <c:pt idx="4">
                  <c:v>17.03125</c:v>
                </c:pt>
                <c:pt idx="5">
                  <c:v>19.867916666666666</c:v>
                </c:pt>
                <c:pt idx="6">
                  <c:v>22.006666666666664</c:v>
                </c:pt>
                <c:pt idx="7">
                  <c:v>24.0625</c:v>
                </c:pt>
                <c:pt idx="8">
                  <c:v>26.125</c:v>
                </c:pt>
                <c:pt idx="9">
                  <c:v>28.854166666666668</c:v>
                </c:pt>
              </c:numCache>
            </c:numRef>
          </c:xVal>
          <c:yVal>
            <c:numRef>
              <c:f>'F. sambucinum 10C'!$Q$8:$Q$17</c:f>
              <c:numCache>
                <c:formatCode>General</c:formatCode>
                <c:ptCount val="10"/>
                <c:pt idx="0">
                  <c:v>11</c:v>
                </c:pt>
                <c:pt idx="1">
                  <c:v>15.5</c:v>
                </c:pt>
                <c:pt idx="2">
                  <c:v>23</c:v>
                </c:pt>
                <c:pt idx="3">
                  <c:v>32.5</c:v>
                </c:pt>
                <c:pt idx="4">
                  <c:v>37</c:v>
                </c:pt>
                <c:pt idx="5">
                  <c:v>46</c:v>
                </c:pt>
                <c:pt idx="6">
                  <c:v>52</c:v>
                </c:pt>
                <c:pt idx="7">
                  <c:v>58</c:v>
                </c:pt>
                <c:pt idx="8">
                  <c:v>64.5</c:v>
                </c:pt>
                <c:pt idx="9">
                  <c:v>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C4-4242-910C-3F691E602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246104"/>
        <c:axId val="227245712"/>
      </c:scatterChart>
      <c:valAx>
        <c:axId val="227246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245712"/>
        <c:crosses val="autoZero"/>
        <c:crossBetween val="midCat"/>
      </c:valAx>
      <c:valAx>
        <c:axId val="22724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246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6830410790207294E-2"/>
                  <c:y val="-0.203232516962972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10C'!$C$8:$C$17</c:f>
              <c:numCache>
                <c:formatCode>General</c:formatCode>
                <c:ptCount val="10"/>
                <c:pt idx="0">
                  <c:v>8.0416666666666661</c:v>
                </c:pt>
                <c:pt idx="1">
                  <c:v>10.041666666666666</c:v>
                </c:pt>
                <c:pt idx="2">
                  <c:v>12.84375</c:v>
                </c:pt>
                <c:pt idx="3">
                  <c:v>15.041666666666666</c:v>
                </c:pt>
                <c:pt idx="4">
                  <c:v>17.03125</c:v>
                </c:pt>
                <c:pt idx="5">
                  <c:v>19.867916666666666</c:v>
                </c:pt>
                <c:pt idx="6">
                  <c:v>22.006666666666664</c:v>
                </c:pt>
                <c:pt idx="7">
                  <c:v>24.0625</c:v>
                </c:pt>
                <c:pt idx="8">
                  <c:v>26.125</c:v>
                </c:pt>
                <c:pt idx="9">
                  <c:v>28.854166666666668</c:v>
                </c:pt>
              </c:numCache>
            </c:numRef>
          </c:xVal>
          <c:yVal>
            <c:numRef>
              <c:f>'F. sambucinum 10C'!$R$8:$R$17</c:f>
              <c:numCache>
                <c:formatCode>General</c:formatCode>
                <c:ptCount val="10"/>
                <c:pt idx="0">
                  <c:v>10.5</c:v>
                </c:pt>
                <c:pt idx="1">
                  <c:v>14</c:v>
                </c:pt>
                <c:pt idx="2">
                  <c:v>23</c:v>
                </c:pt>
                <c:pt idx="3">
                  <c:v>30</c:v>
                </c:pt>
                <c:pt idx="4">
                  <c:v>36.5</c:v>
                </c:pt>
                <c:pt idx="5">
                  <c:v>46</c:v>
                </c:pt>
                <c:pt idx="6">
                  <c:v>53</c:v>
                </c:pt>
                <c:pt idx="7">
                  <c:v>59</c:v>
                </c:pt>
                <c:pt idx="8">
                  <c:v>65.5</c:v>
                </c:pt>
                <c:pt idx="9">
                  <c:v>75.5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9F-4C79-94B1-C1E3E822F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553808"/>
        <c:axId val="222556944"/>
      </c:scatterChart>
      <c:valAx>
        <c:axId val="222553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556944"/>
        <c:crosses val="autoZero"/>
        <c:crossBetween val="midCat"/>
      </c:valAx>
      <c:valAx>
        <c:axId val="222556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553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9046143360597416E-2"/>
                  <c:y val="-0.177761547922451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10C'!$C$8:$C$17</c:f>
              <c:numCache>
                <c:formatCode>General</c:formatCode>
                <c:ptCount val="10"/>
                <c:pt idx="0">
                  <c:v>8.0416666666666661</c:v>
                </c:pt>
                <c:pt idx="1">
                  <c:v>10.041666666666666</c:v>
                </c:pt>
                <c:pt idx="2">
                  <c:v>12.84375</c:v>
                </c:pt>
                <c:pt idx="3">
                  <c:v>15.041666666666666</c:v>
                </c:pt>
                <c:pt idx="4">
                  <c:v>17.03125</c:v>
                </c:pt>
                <c:pt idx="5">
                  <c:v>19.867916666666666</c:v>
                </c:pt>
                <c:pt idx="6">
                  <c:v>22.006666666666664</c:v>
                </c:pt>
                <c:pt idx="7">
                  <c:v>24.0625</c:v>
                </c:pt>
                <c:pt idx="8">
                  <c:v>26.125</c:v>
                </c:pt>
                <c:pt idx="9">
                  <c:v>28.854166666666668</c:v>
                </c:pt>
              </c:numCache>
            </c:numRef>
          </c:xVal>
          <c:yVal>
            <c:numRef>
              <c:f>'F. sambucinum 10C'!$S$8:$S$17</c:f>
              <c:numCache>
                <c:formatCode>General</c:formatCode>
                <c:ptCount val="10"/>
                <c:pt idx="0">
                  <c:v>10</c:v>
                </c:pt>
                <c:pt idx="1">
                  <c:v>14</c:v>
                </c:pt>
                <c:pt idx="2">
                  <c:v>21.5</c:v>
                </c:pt>
                <c:pt idx="3">
                  <c:v>29</c:v>
                </c:pt>
                <c:pt idx="4">
                  <c:v>35.5</c:v>
                </c:pt>
                <c:pt idx="5">
                  <c:v>44</c:v>
                </c:pt>
                <c:pt idx="6">
                  <c:v>50</c:v>
                </c:pt>
                <c:pt idx="7">
                  <c:v>56</c:v>
                </c:pt>
                <c:pt idx="8">
                  <c:v>62.5</c:v>
                </c:pt>
                <c:pt idx="9">
                  <c:v>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63-4089-8BB0-26C9A0EFF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076672"/>
        <c:axId val="226382168"/>
      </c:scatterChart>
      <c:valAx>
        <c:axId val="226076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382168"/>
        <c:crosses val="autoZero"/>
        <c:crossBetween val="midCat"/>
      </c:valAx>
      <c:valAx>
        <c:axId val="226382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076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303179159844741"/>
                  <c:y val="-0.197326244652489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10C'!$C$8:$C$17</c:f>
              <c:numCache>
                <c:formatCode>General</c:formatCode>
                <c:ptCount val="10"/>
                <c:pt idx="0">
                  <c:v>8.0416666666666661</c:v>
                </c:pt>
                <c:pt idx="1">
                  <c:v>10.041666666666666</c:v>
                </c:pt>
                <c:pt idx="2">
                  <c:v>12.84375</c:v>
                </c:pt>
                <c:pt idx="3">
                  <c:v>15.041666666666666</c:v>
                </c:pt>
                <c:pt idx="4">
                  <c:v>17.03125</c:v>
                </c:pt>
                <c:pt idx="5">
                  <c:v>19.867916666666666</c:v>
                </c:pt>
                <c:pt idx="6">
                  <c:v>22.006666666666664</c:v>
                </c:pt>
                <c:pt idx="7">
                  <c:v>24.0625</c:v>
                </c:pt>
                <c:pt idx="8">
                  <c:v>26.125</c:v>
                </c:pt>
                <c:pt idx="9">
                  <c:v>28.854166666666668</c:v>
                </c:pt>
              </c:numCache>
            </c:numRef>
          </c:xVal>
          <c:yVal>
            <c:numRef>
              <c:f>'F. sambucinum 10C'!$T$8:$T$17</c:f>
              <c:numCache>
                <c:formatCode>General</c:formatCode>
                <c:ptCount val="10"/>
                <c:pt idx="0">
                  <c:v>8.5</c:v>
                </c:pt>
                <c:pt idx="1">
                  <c:v>16.5</c:v>
                </c:pt>
                <c:pt idx="2">
                  <c:v>19</c:v>
                </c:pt>
                <c:pt idx="3">
                  <c:v>25.5</c:v>
                </c:pt>
                <c:pt idx="4">
                  <c:v>33</c:v>
                </c:pt>
                <c:pt idx="5">
                  <c:v>41</c:v>
                </c:pt>
                <c:pt idx="6">
                  <c:v>49</c:v>
                </c:pt>
                <c:pt idx="7">
                  <c:v>56</c:v>
                </c:pt>
                <c:pt idx="8">
                  <c:v>62.5</c:v>
                </c:pt>
                <c:pt idx="9">
                  <c:v>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1B-40EB-83F5-25F9871C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1472"/>
        <c:axId val="224131864"/>
      </c:scatterChart>
      <c:valAx>
        <c:axId val="224131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1864"/>
        <c:crosses val="autoZero"/>
        <c:crossBetween val="midCat"/>
      </c:valAx>
      <c:valAx>
        <c:axId val="224131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1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825992719866083"/>
                  <c:y val="-0.269108490625274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10C'!$C$7:$C$17</c:f>
              <c:numCache>
                <c:formatCode>General</c:formatCode>
                <c:ptCount val="11"/>
                <c:pt idx="0">
                  <c:v>6.1941666666666668</c:v>
                </c:pt>
                <c:pt idx="1">
                  <c:v>8.0416666666666661</c:v>
                </c:pt>
                <c:pt idx="2">
                  <c:v>10.041666666666666</c:v>
                </c:pt>
                <c:pt idx="3">
                  <c:v>12.84375</c:v>
                </c:pt>
                <c:pt idx="4">
                  <c:v>15.041666666666666</c:v>
                </c:pt>
                <c:pt idx="5">
                  <c:v>17.03125</c:v>
                </c:pt>
                <c:pt idx="6">
                  <c:v>19.867916666666666</c:v>
                </c:pt>
                <c:pt idx="7">
                  <c:v>22.006666666666664</c:v>
                </c:pt>
                <c:pt idx="8">
                  <c:v>24.0625</c:v>
                </c:pt>
                <c:pt idx="9">
                  <c:v>26.125</c:v>
                </c:pt>
                <c:pt idx="10">
                  <c:v>28.854166666666668</c:v>
                </c:pt>
              </c:numCache>
            </c:numRef>
          </c:xVal>
          <c:yVal>
            <c:numRef>
              <c:f>'F. sambucinum 10C'!$U$7:$U$17</c:f>
              <c:numCache>
                <c:formatCode>General</c:formatCode>
                <c:ptCount val="11"/>
                <c:pt idx="0">
                  <c:v>11.5</c:v>
                </c:pt>
                <c:pt idx="1">
                  <c:v>14</c:v>
                </c:pt>
                <c:pt idx="2">
                  <c:v>17.5</c:v>
                </c:pt>
                <c:pt idx="3">
                  <c:v>24.5</c:v>
                </c:pt>
                <c:pt idx="4">
                  <c:v>31</c:v>
                </c:pt>
                <c:pt idx="5">
                  <c:v>43.5</c:v>
                </c:pt>
                <c:pt idx="6">
                  <c:v>51.5</c:v>
                </c:pt>
                <c:pt idx="7">
                  <c:v>53</c:v>
                </c:pt>
                <c:pt idx="8">
                  <c:v>59</c:v>
                </c:pt>
                <c:pt idx="9">
                  <c:v>66</c:v>
                </c:pt>
                <c:pt idx="10">
                  <c:v>76.5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B6-49BE-AE9D-5A550F33F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2648"/>
        <c:axId val="224133040"/>
      </c:scatterChart>
      <c:valAx>
        <c:axId val="224132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3040"/>
        <c:crosses val="autoZero"/>
        <c:crossBetween val="midCat"/>
      </c:valAx>
      <c:valAx>
        <c:axId val="22413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2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408755959063073"/>
                  <c:y val="-0.1905158872186431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10C'!$C$8:$C$13</c:f>
              <c:numCache>
                <c:formatCode>General</c:formatCode>
                <c:ptCount val="6"/>
                <c:pt idx="0">
                  <c:v>8.0416666666666661</c:v>
                </c:pt>
                <c:pt idx="1">
                  <c:v>10.041666666666666</c:v>
                </c:pt>
                <c:pt idx="2">
                  <c:v>12.84375</c:v>
                </c:pt>
                <c:pt idx="3">
                  <c:v>15.041666666666666</c:v>
                </c:pt>
                <c:pt idx="4">
                  <c:v>17.03125</c:v>
                </c:pt>
                <c:pt idx="5">
                  <c:v>19.867916666666666</c:v>
                </c:pt>
              </c:numCache>
            </c:numRef>
          </c:xVal>
          <c:yVal>
            <c:numRef>
              <c:f>'F. sambucinum 10C'!$V$8:$V$13</c:f>
              <c:numCache>
                <c:formatCode>General</c:formatCode>
                <c:ptCount val="6"/>
                <c:pt idx="0">
                  <c:v>10</c:v>
                </c:pt>
                <c:pt idx="1">
                  <c:v>11.5</c:v>
                </c:pt>
                <c:pt idx="2">
                  <c:v>27</c:v>
                </c:pt>
                <c:pt idx="3">
                  <c:v>34</c:v>
                </c:pt>
                <c:pt idx="4">
                  <c:v>40</c:v>
                </c:pt>
                <c:pt idx="5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B9-4091-8CF6-57BD77585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4216"/>
        <c:axId val="224134608"/>
      </c:scatterChart>
      <c:valAx>
        <c:axId val="224134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4608"/>
        <c:crosses val="autoZero"/>
        <c:crossBetween val="midCat"/>
      </c:valAx>
      <c:valAx>
        <c:axId val="22413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4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640113851492068"/>
          <c:y val="0.18420269810048723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097935916786258"/>
                  <c:y val="-0.2117224511022809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10C'!$C$22:$C$29</c:f>
              <c:numCache>
                <c:formatCode>General</c:formatCode>
                <c:ptCount val="8"/>
                <c:pt idx="0">
                  <c:v>4.135416666666667</c:v>
                </c:pt>
                <c:pt idx="1">
                  <c:v>6.1941666666666668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12.84375</c:v>
                </c:pt>
                <c:pt idx="5">
                  <c:v>15.03125</c:v>
                </c:pt>
                <c:pt idx="6">
                  <c:v>17.03125</c:v>
                </c:pt>
                <c:pt idx="7">
                  <c:v>19.867916666666666</c:v>
                </c:pt>
              </c:numCache>
            </c:numRef>
          </c:xVal>
          <c:yVal>
            <c:numRef>
              <c:f>'F. sambucinum 10C'!$Q$22:$Q$29</c:f>
              <c:numCache>
                <c:formatCode>General</c:formatCode>
                <c:ptCount val="8"/>
                <c:pt idx="0">
                  <c:v>10</c:v>
                </c:pt>
                <c:pt idx="1">
                  <c:v>17</c:v>
                </c:pt>
                <c:pt idx="2">
                  <c:v>25</c:v>
                </c:pt>
                <c:pt idx="3">
                  <c:v>35</c:v>
                </c:pt>
                <c:pt idx="4">
                  <c:v>50.5</c:v>
                </c:pt>
                <c:pt idx="5">
                  <c:v>62</c:v>
                </c:pt>
                <c:pt idx="6">
                  <c:v>73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E5-4F1B-8A19-CD91DE489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79992"/>
        <c:axId val="133380384"/>
      </c:scatterChart>
      <c:valAx>
        <c:axId val="133379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0384"/>
        <c:crosses val="autoZero"/>
        <c:crossBetween val="midCat"/>
      </c:valAx>
      <c:valAx>
        <c:axId val="13338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79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4895101446288956E-2"/>
                  <c:y val="-0.190637825677195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5C'!$C$12:$C$18</c:f>
              <c:numCache>
                <c:formatCode>General</c:formatCode>
                <c:ptCount val="7"/>
                <c:pt idx="0">
                  <c:v>17.197916666666668</c:v>
                </c:pt>
                <c:pt idx="1">
                  <c:v>20.083333333333332</c:v>
                </c:pt>
                <c:pt idx="2">
                  <c:v>22.229166666666668</c:v>
                </c:pt>
                <c:pt idx="3">
                  <c:v>24.229166666666668</c:v>
                </c:pt>
                <c:pt idx="4">
                  <c:v>26.291666666666668</c:v>
                </c:pt>
                <c:pt idx="5">
                  <c:v>29.020833333333332</c:v>
                </c:pt>
                <c:pt idx="6">
                  <c:v>30.875</c:v>
                </c:pt>
              </c:numCache>
            </c:numRef>
          </c:xVal>
          <c:yVal>
            <c:numRef>
              <c:f>'F. sambucinum 5C'!$R$12:$R$18</c:f>
              <c:numCache>
                <c:formatCode>General</c:formatCode>
                <c:ptCount val="7"/>
                <c:pt idx="0">
                  <c:v>10</c:v>
                </c:pt>
                <c:pt idx="1">
                  <c:v>14</c:v>
                </c:pt>
                <c:pt idx="2">
                  <c:v>16</c:v>
                </c:pt>
                <c:pt idx="3">
                  <c:v>19.5</c:v>
                </c:pt>
                <c:pt idx="4">
                  <c:v>24</c:v>
                </c:pt>
                <c:pt idx="5">
                  <c:v>28.5</c:v>
                </c:pt>
                <c:pt idx="6">
                  <c:v>30.5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553808"/>
        <c:axId val="222556944"/>
      </c:scatterChart>
      <c:valAx>
        <c:axId val="222553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556944"/>
        <c:crosses val="autoZero"/>
        <c:crossBetween val="midCat"/>
      </c:valAx>
      <c:valAx>
        <c:axId val="222556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553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71807399761027"/>
                  <c:y val="-0.2119805336832895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10C'!$C$22:$C$29</c:f>
              <c:numCache>
                <c:formatCode>General</c:formatCode>
                <c:ptCount val="8"/>
                <c:pt idx="0">
                  <c:v>4.135416666666667</c:v>
                </c:pt>
                <c:pt idx="1">
                  <c:v>6.1941666666666668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12.84375</c:v>
                </c:pt>
                <c:pt idx="5">
                  <c:v>15.03125</c:v>
                </c:pt>
                <c:pt idx="6">
                  <c:v>17.03125</c:v>
                </c:pt>
                <c:pt idx="7">
                  <c:v>19.867916666666666</c:v>
                </c:pt>
              </c:numCache>
            </c:numRef>
          </c:xVal>
          <c:yVal>
            <c:numRef>
              <c:f>'F. sambucinum 10C'!$R$22:$R$29</c:f>
              <c:numCache>
                <c:formatCode>General</c:formatCode>
                <c:ptCount val="8"/>
                <c:pt idx="0">
                  <c:v>10.5</c:v>
                </c:pt>
                <c:pt idx="1">
                  <c:v>17.5</c:v>
                </c:pt>
                <c:pt idx="2">
                  <c:v>25.5</c:v>
                </c:pt>
                <c:pt idx="3">
                  <c:v>36</c:v>
                </c:pt>
                <c:pt idx="4">
                  <c:v>50</c:v>
                </c:pt>
                <c:pt idx="5">
                  <c:v>62</c:v>
                </c:pt>
                <c:pt idx="6">
                  <c:v>72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B5-4FD1-A6FF-8CBE43981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81168"/>
        <c:axId val="133381560"/>
      </c:scatterChart>
      <c:valAx>
        <c:axId val="133381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1560"/>
        <c:crosses val="autoZero"/>
        <c:crossBetween val="midCat"/>
      </c:valAx>
      <c:valAx>
        <c:axId val="133381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1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947513368370322"/>
                  <c:y val="-0.21149697638869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10C'!$C$22:$C$29</c:f>
              <c:numCache>
                <c:formatCode>General</c:formatCode>
                <c:ptCount val="8"/>
                <c:pt idx="0">
                  <c:v>4.135416666666667</c:v>
                </c:pt>
                <c:pt idx="1">
                  <c:v>6.1941666666666668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12.84375</c:v>
                </c:pt>
                <c:pt idx="5">
                  <c:v>15.03125</c:v>
                </c:pt>
                <c:pt idx="6">
                  <c:v>17.03125</c:v>
                </c:pt>
                <c:pt idx="7">
                  <c:v>19.867916666666666</c:v>
                </c:pt>
              </c:numCache>
            </c:numRef>
          </c:xVal>
          <c:yVal>
            <c:numRef>
              <c:f>'F. sambucinum 10C'!$S$22:$S$29</c:f>
              <c:numCache>
                <c:formatCode>General</c:formatCode>
                <c:ptCount val="8"/>
                <c:pt idx="0">
                  <c:v>11</c:v>
                </c:pt>
                <c:pt idx="1">
                  <c:v>19.5</c:v>
                </c:pt>
                <c:pt idx="2">
                  <c:v>27</c:v>
                </c:pt>
                <c:pt idx="3">
                  <c:v>37</c:v>
                </c:pt>
                <c:pt idx="4">
                  <c:v>52.5</c:v>
                </c:pt>
                <c:pt idx="5">
                  <c:v>64.5</c:v>
                </c:pt>
                <c:pt idx="6">
                  <c:v>75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33-48CA-A220-54425BB05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3824"/>
        <c:axId val="133382344"/>
      </c:scatterChart>
      <c:valAx>
        <c:axId val="224133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2344"/>
        <c:crosses val="autoZero"/>
        <c:crossBetween val="midCat"/>
      </c:valAx>
      <c:valAx>
        <c:axId val="133382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3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32737528754631"/>
                  <c:y val="-0.2188169625214293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10C'!$C$22:$C$29</c:f>
              <c:numCache>
                <c:formatCode>General</c:formatCode>
                <c:ptCount val="8"/>
                <c:pt idx="0">
                  <c:v>4.135416666666667</c:v>
                </c:pt>
                <c:pt idx="1">
                  <c:v>6.1941666666666668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12.84375</c:v>
                </c:pt>
                <c:pt idx="5">
                  <c:v>15.03125</c:v>
                </c:pt>
                <c:pt idx="6">
                  <c:v>17.03125</c:v>
                </c:pt>
                <c:pt idx="7">
                  <c:v>19.867916666666666</c:v>
                </c:pt>
              </c:numCache>
            </c:numRef>
          </c:xVal>
          <c:yVal>
            <c:numRef>
              <c:f>'F. sambucinum 10C'!$T$22:$T$29</c:f>
              <c:numCache>
                <c:formatCode>General</c:formatCode>
                <c:ptCount val="8"/>
                <c:pt idx="0">
                  <c:v>14</c:v>
                </c:pt>
                <c:pt idx="1">
                  <c:v>18.5</c:v>
                </c:pt>
                <c:pt idx="2">
                  <c:v>26</c:v>
                </c:pt>
                <c:pt idx="3">
                  <c:v>37.5</c:v>
                </c:pt>
                <c:pt idx="4">
                  <c:v>47.5</c:v>
                </c:pt>
                <c:pt idx="5">
                  <c:v>62.5</c:v>
                </c:pt>
                <c:pt idx="6">
                  <c:v>72.5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8F-40D4-8EEE-5CB5E8B18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83128"/>
        <c:axId val="226676440"/>
      </c:scatterChart>
      <c:valAx>
        <c:axId val="133383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6440"/>
        <c:crosses val="autoZero"/>
        <c:crossBetween val="midCat"/>
      </c:valAx>
      <c:valAx>
        <c:axId val="226676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3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32737528754631"/>
                  <c:y val="-0.204610852214901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10C'!$C$22:$C$29</c:f>
              <c:numCache>
                <c:formatCode>General</c:formatCode>
                <c:ptCount val="8"/>
                <c:pt idx="0">
                  <c:v>4.135416666666667</c:v>
                </c:pt>
                <c:pt idx="1">
                  <c:v>6.1941666666666668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12.84375</c:v>
                </c:pt>
                <c:pt idx="5">
                  <c:v>15.03125</c:v>
                </c:pt>
                <c:pt idx="6">
                  <c:v>17.03125</c:v>
                </c:pt>
                <c:pt idx="7">
                  <c:v>19.867916666666666</c:v>
                </c:pt>
              </c:numCache>
            </c:numRef>
          </c:xVal>
          <c:yVal>
            <c:numRef>
              <c:f>'F. sambucinum 10C'!$U$22:$U$29</c:f>
              <c:numCache>
                <c:formatCode>General</c:formatCode>
                <c:ptCount val="8"/>
                <c:pt idx="0">
                  <c:v>13.5</c:v>
                </c:pt>
                <c:pt idx="1">
                  <c:v>20</c:v>
                </c:pt>
                <c:pt idx="2">
                  <c:v>26.5</c:v>
                </c:pt>
                <c:pt idx="3">
                  <c:v>37</c:v>
                </c:pt>
                <c:pt idx="4">
                  <c:v>52</c:v>
                </c:pt>
                <c:pt idx="5">
                  <c:v>64.5</c:v>
                </c:pt>
                <c:pt idx="6">
                  <c:v>75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1F-4433-A428-E93770B2C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7224"/>
        <c:axId val="226677616"/>
      </c:scatterChart>
      <c:valAx>
        <c:axId val="226677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7616"/>
        <c:crosses val="autoZero"/>
        <c:crossBetween val="midCat"/>
      </c:valAx>
      <c:valAx>
        <c:axId val="22667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7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987772048960634"/>
                  <c:y val="-0.211609520033017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10C'!$C$22:$C$29</c:f>
              <c:numCache>
                <c:formatCode>General</c:formatCode>
                <c:ptCount val="8"/>
                <c:pt idx="0">
                  <c:v>4.135416666666667</c:v>
                </c:pt>
                <c:pt idx="1">
                  <c:v>6.1941666666666668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12.84375</c:v>
                </c:pt>
                <c:pt idx="5">
                  <c:v>15.03125</c:v>
                </c:pt>
                <c:pt idx="6">
                  <c:v>17.03125</c:v>
                </c:pt>
                <c:pt idx="7">
                  <c:v>19.867916666666666</c:v>
                </c:pt>
              </c:numCache>
            </c:numRef>
          </c:xVal>
          <c:yVal>
            <c:numRef>
              <c:f>'F. sambucinum 10C'!$V$22:$V$29</c:f>
              <c:numCache>
                <c:formatCode>General</c:formatCode>
                <c:ptCount val="8"/>
                <c:pt idx="0">
                  <c:v>9.5</c:v>
                </c:pt>
                <c:pt idx="1">
                  <c:v>17</c:v>
                </c:pt>
                <c:pt idx="2">
                  <c:v>26.5</c:v>
                </c:pt>
                <c:pt idx="3">
                  <c:v>37</c:v>
                </c:pt>
                <c:pt idx="4">
                  <c:v>53</c:v>
                </c:pt>
                <c:pt idx="5">
                  <c:v>64.5</c:v>
                </c:pt>
                <c:pt idx="6">
                  <c:v>74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20-48C5-960F-2DD52AF46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8400"/>
        <c:axId val="226678792"/>
      </c:scatterChart>
      <c:valAx>
        <c:axId val="226678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8792"/>
        <c:crosses val="autoZero"/>
        <c:crossBetween val="midCat"/>
      </c:valAx>
      <c:valAx>
        <c:axId val="22667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8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2576078002628019"/>
                  <c:y val="-0.217990698961348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15C'!$C$6:$C$14</c:f>
              <c:numCache>
                <c:formatCode>General</c:formatCode>
                <c:ptCount val="9"/>
                <c:pt idx="0">
                  <c:v>4.2625000000000002</c:v>
                </c:pt>
                <c:pt idx="1">
                  <c:v>5.291666666666667</c:v>
                </c:pt>
                <c:pt idx="2">
                  <c:v>6.3125</c:v>
                </c:pt>
                <c:pt idx="3">
                  <c:v>7.3666666666666671</c:v>
                </c:pt>
                <c:pt idx="4">
                  <c:v>8.2083333333333339</c:v>
                </c:pt>
                <c:pt idx="5">
                  <c:v>10</c:v>
                </c:pt>
                <c:pt idx="6">
                  <c:v>12.979166666666666</c:v>
                </c:pt>
                <c:pt idx="7">
                  <c:v>15.166666666666666</c:v>
                </c:pt>
                <c:pt idx="8">
                  <c:v>17.1875</c:v>
                </c:pt>
              </c:numCache>
            </c:numRef>
          </c:xVal>
          <c:yVal>
            <c:numRef>
              <c:f>'F. sambucinum 15C'!$Q$6:$Q$14</c:f>
              <c:numCache>
                <c:formatCode>General</c:formatCode>
                <c:ptCount val="9"/>
                <c:pt idx="0">
                  <c:v>14</c:v>
                </c:pt>
                <c:pt idx="1">
                  <c:v>18.5</c:v>
                </c:pt>
                <c:pt idx="2">
                  <c:v>25.5</c:v>
                </c:pt>
                <c:pt idx="3">
                  <c:v>30.5</c:v>
                </c:pt>
                <c:pt idx="4">
                  <c:v>37</c:v>
                </c:pt>
                <c:pt idx="5">
                  <c:v>47</c:v>
                </c:pt>
                <c:pt idx="6">
                  <c:v>63.5</c:v>
                </c:pt>
                <c:pt idx="7">
                  <c:v>75</c:v>
                </c:pt>
                <c:pt idx="8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B3-4ABB-9804-357D0B71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246104"/>
        <c:axId val="227245712"/>
      </c:scatterChart>
      <c:valAx>
        <c:axId val="227246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245712"/>
        <c:crosses val="autoZero"/>
        <c:crossBetween val="midCat"/>
      </c:valAx>
      <c:valAx>
        <c:axId val="22724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246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4126423204688049"/>
                  <c:y val="-0.21123307934616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15C'!$C$6:$C$14</c:f>
              <c:numCache>
                <c:formatCode>General</c:formatCode>
                <c:ptCount val="9"/>
                <c:pt idx="0">
                  <c:v>4.2625000000000002</c:v>
                </c:pt>
                <c:pt idx="1">
                  <c:v>5.291666666666667</c:v>
                </c:pt>
                <c:pt idx="2">
                  <c:v>6.3125</c:v>
                </c:pt>
                <c:pt idx="3">
                  <c:v>7.3666666666666671</c:v>
                </c:pt>
                <c:pt idx="4">
                  <c:v>8.2083333333333339</c:v>
                </c:pt>
                <c:pt idx="5">
                  <c:v>10</c:v>
                </c:pt>
                <c:pt idx="6">
                  <c:v>12.979166666666666</c:v>
                </c:pt>
                <c:pt idx="7">
                  <c:v>15.166666666666666</c:v>
                </c:pt>
                <c:pt idx="8">
                  <c:v>17.1875</c:v>
                </c:pt>
              </c:numCache>
            </c:numRef>
          </c:xVal>
          <c:yVal>
            <c:numRef>
              <c:f>'F. sambucinum 15C'!$R$6:$R$14</c:f>
              <c:numCache>
                <c:formatCode>General</c:formatCode>
                <c:ptCount val="9"/>
                <c:pt idx="0">
                  <c:v>10.5</c:v>
                </c:pt>
                <c:pt idx="1">
                  <c:v>15.5</c:v>
                </c:pt>
                <c:pt idx="2">
                  <c:v>21</c:v>
                </c:pt>
                <c:pt idx="3">
                  <c:v>26.5</c:v>
                </c:pt>
                <c:pt idx="4">
                  <c:v>32</c:v>
                </c:pt>
                <c:pt idx="5">
                  <c:v>41.5</c:v>
                </c:pt>
                <c:pt idx="6">
                  <c:v>59.5</c:v>
                </c:pt>
                <c:pt idx="7">
                  <c:v>67.5</c:v>
                </c:pt>
                <c:pt idx="8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EE-47F5-9E7F-5ABBC5295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553808"/>
        <c:axId val="222556944"/>
      </c:scatterChart>
      <c:valAx>
        <c:axId val="222553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556944"/>
        <c:crosses val="autoZero"/>
        <c:crossBetween val="midCat"/>
      </c:valAx>
      <c:valAx>
        <c:axId val="222556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553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2816782314371561"/>
                  <c:y val="-0.211482025437449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15C'!$C$6:$C$14</c:f>
              <c:numCache>
                <c:formatCode>General</c:formatCode>
                <c:ptCount val="9"/>
                <c:pt idx="0">
                  <c:v>4.2625000000000002</c:v>
                </c:pt>
                <c:pt idx="1">
                  <c:v>5.291666666666667</c:v>
                </c:pt>
                <c:pt idx="2">
                  <c:v>6.3125</c:v>
                </c:pt>
                <c:pt idx="3">
                  <c:v>7.3666666666666671</c:v>
                </c:pt>
                <c:pt idx="4">
                  <c:v>8.2083333333333339</c:v>
                </c:pt>
                <c:pt idx="5">
                  <c:v>10</c:v>
                </c:pt>
                <c:pt idx="6">
                  <c:v>12.979166666666666</c:v>
                </c:pt>
                <c:pt idx="7">
                  <c:v>15.166666666666666</c:v>
                </c:pt>
                <c:pt idx="8">
                  <c:v>17.1875</c:v>
                </c:pt>
              </c:numCache>
            </c:numRef>
          </c:xVal>
          <c:yVal>
            <c:numRef>
              <c:f>'F. sambucinum 15C'!$S$6:$S$14</c:f>
              <c:numCache>
                <c:formatCode>General</c:formatCode>
                <c:ptCount val="9"/>
                <c:pt idx="0">
                  <c:v>11</c:v>
                </c:pt>
                <c:pt idx="1">
                  <c:v>16.5</c:v>
                </c:pt>
                <c:pt idx="2">
                  <c:v>22</c:v>
                </c:pt>
                <c:pt idx="3">
                  <c:v>28.5</c:v>
                </c:pt>
                <c:pt idx="4">
                  <c:v>34</c:v>
                </c:pt>
                <c:pt idx="5">
                  <c:v>44.5</c:v>
                </c:pt>
                <c:pt idx="6">
                  <c:v>59.5</c:v>
                </c:pt>
                <c:pt idx="7">
                  <c:v>70.5</c:v>
                </c:pt>
                <c:pt idx="8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AB-42CC-979C-B4FA9196F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076672"/>
        <c:axId val="226382168"/>
      </c:scatterChart>
      <c:valAx>
        <c:axId val="226076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382168"/>
        <c:crosses val="autoZero"/>
        <c:crossBetween val="midCat"/>
      </c:valAx>
      <c:valAx>
        <c:axId val="226382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076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3128591638305113"/>
                  <c:y val="-0.1910225188820839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15C'!$C$6:$C$14</c:f>
              <c:numCache>
                <c:formatCode>General</c:formatCode>
                <c:ptCount val="9"/>
                <c:pt idx="0">
                  <c:v>4.2625000000000002</c:v>
                </c:pt>
                <c:pt idx="1">
                  <c:v>5.291666666666667</c:v>
                </c:pt>
                <c:pt idx="2">
                  <c:v>6.3125</c:v>
                </c:pt>
                <c:pt idx="3">
                  <c:v>7.3666666666666671</c:v>
                </c:pt>
                <c:pt idx="4">
                  <c:v>8.2083333333333339</c:v>
                </c:pt>
                <c:pt idx="5">
                  <c:v>10</c:v>
                </c:pt>
                <c:pt idx="6">
                  <c:v>12.979166666666666</c:v>
                </c:pt>
                <c:pt idx="7">
                  <c:v>15.166666666666666</c:v>
                </c:pt>
                <c:pt idx="8">
                  <c:v>17.1875</c:v>
                </c:pt>
              </c:numCache>
            </c:numRef>
          </c:xVal>
          <c:yVal>
            <c:numRef>
              <c:f>'F. sambucinum 15C'!$T$6:$T$14</c:f>
              <c:numCache>
                <c:formatCode>General</c:formatCode>
                <c:ptCount val="9"/>
                <c:pt idx="0">
                  <c:v>15.5</c:v>
                </c:pt>
                <c:pt idx="1">
                  <c:v>21</c:v>
                </c:pt>
                <c:pt idx="2">
                  <c:v>27</c:v>
                </c:pt>
                <c:pt idx="3">
                  <c:v>32.5</c:v>
                </c:pt>
                <c:pt idx="4">
                  <c:v>37</c:v>
                </c:pt>
                <c:pt idx="5">
                  <c:v>46.5</c:v>
                </c:pt>
                <c:pt idx="6">
                  <c:v>63.5</c:v>
                </c:pt>
                <c:pt idx="7">
                  <c:v>75.5</c:v>
                </c:pt>
                <c:pt idx="8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BF-4B80-BF5F-53DBBE965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1472"/>
        <c:axId val="224131864"/>
      </c:scatterChart>
      <c:valAx>
        <c:axId val="224131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1864"/>
        <c:crosses val="autoZero"/>
        <c:crossBetween val="midCat"/>
      </c:valAx>
      <c:valAx>
        <c:axId val="224131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1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39493179723457"/>
                  <c:y val="-0.2166377136904170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15C'!$C$6:$C$14</c:f>
              <c:numCache>
                <c:formatCode>General</c:formatCode>
                <c:ptCount val="9"/>
                <c:pt idx="0">
                  <c:v>4.2625000000000002</c:v>
                </c:pt>
                <c:pt idx="1">
                  <c:v>5.291666666666667</c:v>
                </c:pt>
                <c:pt idx="2">
                  <c:v>6.3125</c:v>
                </c:pt>
                <c:pt idx="3">
                  <c:v>7.3666666666666671</c:v>
                </c:pt>
                <c:pt idx="4">
                  <c:v>8.2083333333333339</c:v>
                </c:pt>
                <c:pt idx="5">
                  <c:v>10</c:v>
                </c:pt>
                <c:pt idx="6">
                  <c:v>12.979166666666666</c:v>
                </c:pt>
                <c:pt idx="7">
                  <c:v>15.166666666666666</c:v>
                </c:pt>
                <c:pt idx="8">
                  <c:v>17.1875</c:v>
                </c:pt>
              </c:numCache>
            </c:numRef>
          </c:xVal>
          <c:yVal>
            <c:numRef>
              <c:f>'F. sambucinum 15C'!$U$6:$U$14</c:f>
              <c:numCache>
                <c:formatCode>General</c:formatCode>
                <c:ptCount val="9"/>
                <c:pt idx="0">
                  <c:v>15.5</c:v>
                </c:pt>
                <c:pt idx="1">
                  <c:v>24</c:v>
                </c:pt>
                <c:pt idx="2">
                  <c:v>31.5</c:v>
                </c:pt>
                <c:pt idx="3">
                  <c:v>36.5</c:v>
                </c:pt>
                <c:pt idx="4">
                  <c:v>42.5</c:v>
                </c:pt>
                <c:pt idx="5">
                  <c:v>52</c:v>
                </c:pt>
                <c:pt idx="6">
                  <c:v>67.5</c:v>
                </c:pt>
                <c:pt idx="7">
                  <c:v>79.5</c:v>
                </c:pt>
                <c:pt idx="8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61-48F2-9703-1F3172EEF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2648"/>
        <c:axId val="224133040"/>
      </c:scatterChart>
      <c:valAx>
        <c:axId val="224132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3040"/>
        <c:crosses val="autoZero"/>
        <c:crossBetween val="midCat"/>
      </c:valAx>
      <c:valAx>
        <c:axId val="22413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2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7995791850409016E-2"/>
                  <c:y val="-0.190613264688067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5C'!$C$12:$C$18</c:f>
              <c:numCache>
                <c:formatCode>General</c:formatCode>
                <c:ptCount val="7"/>
                <c:pt idx="0">
                  <c:v>17.197916666666668</c:v>
                </c:pt>
                <c:pt idx="1">
                  <c:v>20.083333333333332</c:v>
                </c:pt>
                <c:pt idx="2">
                  <c:v>22.229166666666668</c:v>
                </c:pt>
                <c:pt idx="3">
                  <c:v>24.229166666666668</c:v>
                </c:pt>
                <c:pt idx="4">
                  <c:v>26.291666666666668</c:v>
                </c:pt>
                <c:pt idx="5">
                  <c:v>29.020833333333332</c:v>
                </c:pt>
                <c:pt idx="6">
                  <c:v>30.875</c:v>
                </c:pt>
              </c:numCache>
            </c:numRef>
          </c:xVal>
          <c:yVal>
            <c:numRef>
              <c:f>'F. sambucinum 5C'!$S$12:$S$18</c:f>
              <c:numCache>
                <c:formatCode>General</c:formatCode>
                <c:ptCount val="7"/>
                <c:pt idx="0">
                  <c:v>10</c:v>
                </c:pt>
                <c:pt idx="1">
                  <c:v>14</c:v>
                </c:pt>
                <c:pt idx="2">
                  <c:v>18</c:v>
                </c:pt>
                <c:pt idx="3">
                  <c:v>20</c:v>
                </c:pt>
                <c:pt idx="4">
                  <c:v>24.5</c:v>
                </c:pt>
                <c:pt idx="5">
                  <c:v>28.5</c:v>
                </c:pt>
                <c:pt idx="6">
                  <c:v>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076672"/>
        <c:axId val="226382168"/>
      </c:scatterChart>
      <c:valAx>
        <c:axId val="226076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382168"/>
        <c:crosses val="autoZero"/>
        <c:crossBetween val="midCat"/>
      </c:valAx>
      <c:valAx>
        <c:axId val="226382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076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2816782314371561"/>
                  <c:y val="-0.2198607572165405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15C'!$C$6:$C$14</c:f>
              <c:numCache>
                <c:formatCode>General</c:formatCode>
                <c:ptCount val="9"/>
                <c:pt idx="0">
                  <c:v>4.2625000000000002</c:v>
                </c:pt>
                <c:pt idx="1">
                  <c:v>5.291666666666667</c:v>
                </c:pt>
                <c:pt idx="2">
                  <c:v>6.3125</c:v>
                </c:pt>
                <c:pt idx="3">
                  <c:v>7.3666666666666671</c:v>
                </c:pt>
                <c:pt idx="4">
                  <c:v>8.2083333333333339</c:v>
                </c:pt>
                <c:pt idx="5">
                  <c:v>10</c:v>
                </c:pt>
                <c:pt idx="6">
                  <c:v>12.979166666666666</c:v>
                </c:pt>
                <c:pt idx="7">
                  <c:v>15.166666666666666</c:v>
                </c:pt>
                <c:pt idx="8">
                  <c:v>17.1875</c:v>
                </c:pt>
              </c:numCache>
            </c:numRef>
          </c:xVal>
          <c:yVal>
            <c:numRef>
              <c:f>'F. sambucinum 15C'!$V$6:$V$14</c:f>
              <c:numCache>
                <c:formatCode>General</c:formatCode>
                <c:ptCount val="9"/>
                <c:pt idx="0">
                  <c:v>18.5</c:v>
                </c:pt>
                <c:pt idx="1">
                  <c:v>24.5</c:v>
                </c:pt>
                <c:pt idx="2">
                  <c:v>30</c:v>
                </c:pt>
                <c:pt idx="3">
                  <c:v>36</c:v>
                </c:pt>
                <c:pt idx="4">
                  <c:v>41</c:v>
                </c:pt>
                <c:pt idx="5">
                  <c:v>51.5</c:v>
                </c:pt>
                <c:pt idx="6">
                  <c:v>67.5</c:v>
                </c:pt>
                <c:pt idx="7">
                  <c:v>80</c:v>
                </c:pt>
                <c:pt idx="8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AF-4B04-8A0E-2564DF86D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4216"/>
        <c:axId val="224134608"/>
      </c:scatterChart>
      <c:valAx>
        <c:axId val="224134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4608"/>
        <c:crosses val="autoZero"/>
        <c:crossBetween val="midCat"/>
      </c:valAx>
      <c:valAx>
        <c:axId val="22413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4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640113851492068"/>
          <c:y val="0.18420269810048723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934488124484102"/>
                  <c:y val="-0.189758092738407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15C'!$C$21:$C$27</c:f>
              <c:numCache>
                <c:formatCode>General</c:formatCode>
                <c:ptCount val="7"/>
                <c:pt idx="0">
                  <c:v>2.2395833333333335</c:v>
                </c:pt>
                <c:pt idx="1">
                  <c:v>4.2625000000000002</c:v>
                </c:pt>
                <c:pt idx="2">
                  <c:v>5.291666666666667</c:v>
                </c:pt>
                <c:pt idx="3">
                  <c:v>6.3125</c:v>
                </c:pt>
                <c:pt idx="4">
                  <c:v>7.3666666666666671</c:v>
                </c:pt>
                <c:pt idx="5">
                  <c:v>8.2083333333333339</c:v>
                </c:pt>
                <c:pt idx="6">
                  <c:v>10</c:v>
                </c:pt>
              </c:numCache>
            </c:numRef>
          </c:xVal>
          <c:yVal>
            <c:numRef>
              <c:f>'F. sambucinum 15C'!$Q$21:$Q$28</c:f>
              <c:numCache>
                <c:formatCode>General</c:formatCode>
                <c:ptCount val="8"/>
                <c:pt idx="0">
                  <c:v>13</c:v>
                </c:pt>
                <c:pt idx="1">
                  <c:v>33.5</c:v>
                </c:pt>
                <c:pt idx="2">
                  <c:v>44</c:v>
                </c:pt>
                <c:pt idx="3">
                  <c:v>53.5</c:v>
                </c:pt>
                <c:pt idx="4">
                  <c:v>62</c:v>
                </c:pt>
                <c:pt idx="5">
                  <c:v>71</c:v>
                </c:pt>
                <c:pt idx="6">
                  <c:v>85.5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8D-4EC3-92E7-F010BF045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79992"/>
        <c:axId val="133380384"/>
      </c:scatterChart>
      <c:valAx>
        <c:axId val="133379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0384"/>
        <c:crosses val="autoZero"/>
        <c:crossBetween val="midCat"/>
      </c:valAx>
      <c:valAx>
        <c:axId val="13338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79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871659282268952"/>
                  <c:y val="-0.178674867134145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15C'!$C$21:$C$27</c:f>
              <c:numCache>
                <c:formatCode>General</c:formatCode>
                <c:ptCount val="7"/>
                <c:pt idx="0">
                  <c:v>2.2395833333333335</c:v>
                </c:pt>
                <c:pt idx="1">
                  <c:v>4.2625000000000002</c:v>
                </c:pt>
                <c:pt idx="2">
                  <c:v>5.291666666666667</c:v>
                </c:pt>
                <c:pt idx="3">
                  <c:v>6.3125</c:v>
                </c:pt>
                <c:pt idx="4">
                  <c:v>7.3666666666666671</c:v>
                </c:pt>
                <c:pt idx="5">
                  <c:v>8.2083333333333339</c:v>
                </c:pt>
                <c:pt idx="6">
                  <c:v>10</c:v>
                </c:pt>
              </c:numCache>
            </c:numRef>
          </c:xVal>
          <c:yVal>
            <c:numRef>
              <c:f>'F. sambucinum 15C'!$R$21:$R$27</c:f>
              <c:numCache>
                <c:formatCode>General</c:formatCode>
                <c:ptCount val="7"/>
                <c:pt idx="0">
                  <c:v>14.5</c:v>
                </c:pt>
                <c:pt idx="1">
                  <c:v>31</c:v>
                </c:pt>
                <c:pt idx="2">
                  <c:v>43</c:v>
                </c:pt>
                <c:pt idx="3">
                  <c:v>51</c:v>
                </c:pt>
                <c:pt idx="4">
                  <c:v>60.5</c:v>
                </c:pt>
                <c:pt idx="5">
                  <c:v>70</c:v>
                </c:pt>
                <c:pt idx="6">
                  <c:v>83.5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0F-4DA1-B3A5-F8CCCF682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81168"/>
        <c:axId val="133381560"/>
      </c:scatterChart>
      <c:valAx>
        <c:axId val="133381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1560"/>
        <c:crosses val="autoZero"/>
        <c:crossBetween val="midCat"/>
      </c:valAx>
      <c:valAx>
        <c:axId val="133381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1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936231310468298"/>
                  <c:y val="-0.1787066188037295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15C'!$C$21:$C$27</c:f>
              <c:numCache>
                <c:formatCode>General</c:formatCode>
                <c:ptCount val="7"/>
                <c:pt idx="0">
                  <c:v>2.2395833333333335</c:v>
                </c:pt>
                <c:pt idx="1">
                  <c:v>4.2625000000000002</c:v>
                </c:pt>
                <c:pt idx="2">
                  <c:v>5.291666666666667</c:v>
                </c:pt>
                <c:pt idx="3">
                  <c:v>6.3125</c:v>
                </c:pt>
                <c:pt idx="4">
                  <c:v>7.3666666666666671</c:v>
                </c:pt>
                <c:pt idx="5">
                  <c:v>8.2083333333333339</c:v>
                </c:pt>
                <c:pt idx="6">
                  <c:v>10</c:v>
                </c:pt>
              </c:numCache>
            </c:numRef>
          </c:xVal>
          <c:yVal>
            <c:numRef>
              <c:f>'F. sambucinum 15C'!$S$21:$S$27</c:f>
              <c:numCache>
                <c:formatCode>General</c:formatCode>
                <c:ptCount val="7"/>
                <c:pt idx="0">
                  <c:v>15</c:v>
                </c:pt>
                <c:pt idx="1">
                  <c:v>30.5</c:v>
                </c:pt>
                <c:pt idx="2">
                  <c:v>41</c:v>
                </c:pt>
                <c:pt idx="3">
                  <c:v>51</c:v>
                </c:pt>
                <c:pt idx="4">
                  <c:v>60</c:v>
                </c:pt>
                <c:pt idx="5">
                  <c:v>71</c:v>
                </c:pt>
                <c:pt idx="6">
                  <c:v>85.5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A6-4C59-BDD3-83CFAFBF4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3824"/>
        <c:axId val="133382344"/>
      </c:scatterChart>
      <c:valAx>
        <c:axId val="224133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2344"/>
        <c:crosses val="autoZero"/>
        <c:crossBetween val="midCat"/>
      </c:valAx>
      <c:valAx>
        <c:axId val="133382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3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697046060866163"/>
                  <c:y val="-0.2010097267253357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15C'!$C$21:$C$27</c:f>
              <c:numCache>
                <c:formatCode>General</c:formatCode>
                <c:ptCount val="7"/>
                <c:pt idx="0">
                  <c:v>2.2395833333333335</c:v>
                </c:pt>
                <c:pt idx="1">
                  <c:v>4.2625000000000002</c:v>
                </c:pt>
                <c:pt idx="2">
                  <c:v>5.291666666666667</c:v>
                </c:pt>
                <c:pt idx="3">
                  <c:v>6.3125</c:v>
                </c:pt>
                <c:pt idx="4">
                  <c:v>7.3666666666666671</c:v>
                </c:pt>
                <c:pt idx="5">
                  <c:v>8.2083333333333339</c:v>
                </c:pt>
                <c:pt idx="6">
                  <c:v>10</c:v>
                </c:pt>
              </c:numCache>
            </c:numRef>
          </c:xVal>
          <c:yVal>
            <c:numRef>
              <c:f>'F. sambucinum 15C'!$T$21:$T$27</c:f>
              <c:numCache>
                <c:formatCode>General</c:formatCode>
                <c:ptCount val="7"/>
                <c:pt idx="0">
                  <c:v>15</c:v>
                </c:pt>
                <c:pt idx="1">
                  <c:v>31.5</c:v>
                </c:pt>
                <c:pt idx="2">
                  <c:v>42</c:v>
                </c:pt>
                <c:pt idx="3">
                  <c:v>51.5</c:v>
                </c:pt>
                <c:pt idx="4">
                  <c:v>62.5</c:v>
                </c:pt>
                <c:pt idx="5">
                  <c:v>70.5</c:v>
                </c:pt>
                <c:pt idx="6">
                  <c:v>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01-4693-8F00-ABF9726F3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83128"/>
        <c:axId val="226676440"/>
      </c:scatterChart>
      <c:valAx>
        <c:axId val="133383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6440"/>
        <c:crosses val="autoZero"/>
        <c:crossBetween val="midCat"/>
      </c:valAx>
      <c:valAx>
        <c:axId val="226676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3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385236736932612"/>
                  <c:y val="-0.184202783109822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15C'!$C$21:$C$27</c:f>
              <c:numCache>
                <c:formatCode>General</c:formatCode>
                <c:ptCount val="7"/>
                <c:pt idx="0">
                  <c:v>2.2395833333333335</c:v>
                </c:pt>
                <c:pt idx="1">
                  <c:v>4.2625000000000002</c:v>
                </c:pt>
                <c:pt idx="2">
                  <c:v>5.291666666666667</c:v>
                </c:pt>
                <c:pt idx="3">
                  <c:v>6.3125</c:v>
                </c:pt>
                <c:pt idx="4">
                  <c:v>7.3666666666666671</c:v>
                </c:pt>
                <c:pt idx="5">
                  <c:v>8.2083333333333339</c:v>
                </c:pt>
                <c:pt idx="6">
                  <c:v>10</c:v>
                </c:pt>
              </c:numCache>
            </c:numRef>
          </c:xVal>
          <c:yVal>
            <c:numRef>
              <c:f>'F. sambucinum 15C'!$U$21:$U$27</c:f>
              <c:numCache>
                <c:formatCode>General</c:formatCode>
                <c:ptCount val="7"/>
                <c:pt idx="0">
                  <c:v>16</c:v>
                </c:pt>
                <c:pt idx="1">
                  <c:v>33.5</c:v>
                </c:pt>
                <c:pt idx="2">
                  <c:v>44</c:v>
                </c:pt>
                <c:pt idx="3">
                  <c:v>54</c:v>
                </c:pt>
                <c:pt idx="4">
                  <c:v>62</c:v>
                </c:pt>
                <c:pt idx="5">
                  <c:v>73</c:v>
                </c:pt>
                <c:pt idx="6">
                  <c:v>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29-4D69-8FBD-1F7E8855E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7224"/>
        <c:axId val="226677616"/>
      </c:scatterChart>
      <c:valAx>
        <c:axId val="226677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7616"/>
        <c:crosses val="autoZero"/>
        <c:crossBetween val="midCat"/>
      </c:valAx>
      <c:valAx>
        <c:axId val="22667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7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936231310468298"/>
                  <c:y val="-0.1896941630236912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15C'!$C$21:$C$27</c:f>
              <c:numCache>
                <c:formatCode>General</c:formatCode>
                <c:ptCount val="7"/>
                <c:pt idx="0">
                  <c:v>2.2395833333333335</c:v>
                </c:pt>
                <c:pt idx="1">
                  <c:v>4.2625000000000002</c:v>
                </c:pt>
                <c:pt idx="2">
                  <c:v>5.291666666666667</c:v>
                </c:pt>
                <c:pt idx="3">
                  <c:v>6.3125</c:v>
                </c:pt>
                <c:pt idx="4">
                  <c:v>7.3666666666666671</c:v>
                </c:pt>
                <c:pt idx="5">
                  <c:v>8.2083333333333339</c:v>
                </c:pt>
                <c:pt idx="6">
                  <c:v>10</c:v>
                </c:pt>
              </c:numCache>
            </c:numRef>
          </c:xVal>
          <c:yVal>
            <c:numRef>
              <c:f>'F. sambucinum 15C'!$V$21:$V$27</c:f>
              <c:numCache>
                <c:formatCode>General</c:formatCode>
                <c:ptCount val="7"/>
                <c:pt idx="0">
                  <c:v>15</c:v>
                </c:pt>
                <c:pt idx="1">
                  <c:v>31.5</c:v>
                </c:pt>
                <c:pt idx="2">
                  <c:v>43</c:v>
                </c:pt>
                <c:pt idx="3">
                  <c:v>52.5</c:v>
                </c:pt>
                <c:pt idx="4">
                  <c:v>61.5</c:v>
                </c:pt>
                <c:pt idx="5">
                  <c:v>70</c:v>
                </c:pt>
                <c:pt idx="6">
                  <c:v>84.5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2CB-44FA-A3BF-E5B4C6D918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8400"/>
        <c:axId val="226678792"/>
      </c:scatterChart>
      <c:valAx>
        <c:axId val="226678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8792"/>
        <c:crosses val="autoZero"/>
        <c:crossBetween val="midCat"/>
      </c:valAx>
      <c:valAx>
        <c:axId val="22667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8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363847387792844"/>
                  <c:y val="-0.1802825326157321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5C'!$C$11:$C$17</c:f>
              <c:numCache>
                <c:formatCode>General</c:formatCode>
                <c:ptCount val="7"/>
                <c:pt idx="0">
                  <c:v>15.208333333333334</c:v>
                </c:pt>
                <c:pt idx="1">
                  <c:v>17.201249999999998</c:v>
                </c:pt>
                <c:pt idx="2">
                  <c:v>20.09</c:v>
                </c:pt>
                <c:pt idx="3">
                  <c:v>22.18041666666667</c:v>
                </c:pt>
                <c:pt idx="4">
                  <c:v>24.229166666666668</c:v>
                </c:pt>
                <c:pt idx="5">
                  <c:v>26.291666666666668</c:v>
                </c:pt>
                <c:pt idx="6">
                  <c:v>29.020833333333332</c:v>
                </c:pt>
              </c:numCache>
            </c:numRef>
          </c:xVal>
          <c:yVal>
            <c:numRef>
              <c:f>'F. oxysporum 5C'!$Q$11:$Q$17</c:f>
              <c:numCache>
                <c:formatCode>General</c:formatCode>
                <c:ptCount val="7"/>
                <c:pt idx="0">
                  <c:v>10</c:v>
                </c:pt>
                <c:pt idx="1">
                  <c:v>11.5</c:v>
                </c:pt>
                <c:pt idx="2">
                  <c:v>15.5</c:v>
                </c:pt>
                <c:pt idx="3">
                  <c:v>20</c:v>
                </c:pt>
                <c:pt idx="4">
                  <c:v>22</c:v>
                </c:pt>
                <c:pt idx="5">
                  <c:v>24</c:v>
                </c:pt>
                <c:pt idx="6">
                  <c:v>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9576"/>
        <c:axId val="226679968"/>
      </c:scatterChart>
      <c:valAx>
        <c:axId val="226679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9968"/>
        <c:crosses val="autoZero"/>
        <c:crossBetween val="midCat"/>
      </c:valAx>
      <c:valAx>
        <c:axId val="22667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9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261987595390329"/>
          <c:y val="0.18865436419816917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810502577035722"/>
                  <c:y val="-0.1841909379540213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5C'!$C$12:$C$17</c:f>
              <c:numCache>
                <c:formatCode>General</c:formatCode>
                <c:ptCount val="6"/>
                <c:pt idx="0">
                  <c:v>17.201249999999998</c:v>
                </c:pt>
                <c:pt idx="1">
                  <c:v>20.09</c:v>
                </c:pt>
                <c:pt idx="2">
                  <c:v>22.18041666666667</c:v>
                </c:pt>
                <c:pt idx="3">
                  <c:v>24.229166666666668</c:v>
                </c:pt>
                <c:pt idx="4">
                  <c:v>26.291666666666668</c:v>
                </c:pt>
                <c:pt idx="5">
                  <c:v>29.020833333333332</c:v>
                </c:pt>
              </c:numCache>
            </c:numRef>
          </c:xVal>
          <c:yVal>
            <c:numRef>
              <c:f>'F. oxysporum 5C'!$R$12:$R$17</c:f>
              <c:numCache>
                <c:formatCode>General</c:formatCode>
                <c:ptCount val="6"/>
                <c:pt idx="0">
                  <c:v>11</c:v>
                </c:pt>
                <c:pt idx="1">
                  <c:v>14.5</c:v>
                </c:pt>
                <c:pt idx="2">
                  <c:v>17</c:v>
                </c:pt>
                <c:pt idx="3">
                  <c:v>21.5</c:v>
                </c:pt>
                <c:pt idx="4">
                  <c:v>24</c:v>
                </c:pt>
                <c:pt idx="5">
                  <c:v>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48664"/>
        <c:axId val="405349056"/>
      </c:scatterChart>
      <c:valAx>
        <c:axId val="405348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9056"/>
        <c:crosses val="autoZero"/>
        <c:crossBetween val="midCat"/>
      </c:valAx>
      <c:valAx>
        <c:axId val="40534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8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850568152058079"/>
                  <c:y val="-0.181879492768343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5C'!$C$12:$C$17</c:f>
              <c:numCache>
                <c:formatCode>General</c:formatCode>
                <c:ptCount val="6"/>
                <c:pt idx="0">
                  <c:v>17.201249999999998</c:v>
                </c:pt>
                <c:pt idx="1">
                  <c:v>20.09</c:v>
                </c:pt>
                <c:pt idx="2">
                  <c:v>22.18041666666667</c:v>
                </c:pt>
                <c:pt idx="3">
                  <c:v>24.229166666666668</c:v>
                </c:pt>
                <c:pt idx="4">
                  <c:v>26.291666666666668</c:v>
                </c:pt>
                <c:pt idx="5">
                  <c:v>29.020833333333332</c:v>
                </c:pt>
              </c:numCache>
            </c:numRef>
          </c:xVal>
          <c:yVal>
            <c:numRef>
              <c:f>'F. oxysporum 5C'!$S$12:$S$17</c:f>
              <c:numCache>
                <c:formatCode>General</c:formatCode>
                <c:ptCount val="6"/>
                <c:pt idx="0">
                  <c:v>10.5</c:v>
                </c:pt>
                <c:pt idx="1">
                  <c:v>14</c:v>
                </c:pt>
                <c:pt idx="2">
                  <c:v>18.5</c:v>
                </c:pt>
                <c:pt idx="3">
                  <c:v>20.5</c:v>
                </c:pt>
                <c:pt idx="4">
                  <c:v>25.5</c:v>
                </c:pt>
                <c:pt idx="5">
                  <c:v>30.5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49840"/>
        <c:axId val="405350232"/>
      </c:scatterChart>
      <c:valAx>
        <c:axId val="405349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0232"/>
        <c:crosses val="autoZero"/>
        <c:crossBetween val="midCat"/>
      </c:valAx>
      <c:valAx>
        <c:axId val="405350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9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'F. sambucinum 5C'!$C$8:$C$13</c:f>
              <c:numCache>
                <c:formatCode>General</c:formatCode>
                <c:ptCount val="6"/>
                <c:pt idx="0">
                  <c:v>8.1875</c:v>
                </c:pt>
                <c:pt idx="1">
                  <c:v>10.233333333333333</c:v>
                </c:pt>
                <c:pt idx="2">
                  <c:v>13.020833333333334</c:v>
                </c:pt>
                <c:pt idx="3">
                  <c:v>15.208333333333334</c:v>
                </c:pt>
                <c:pt idx="4">
                  <c:v>17.197916666666668</c:v>
                </c:pt>
                <c:pt idx="5">
                  <c:v>20.083333333333332</c:v>
                </c:pt>
              </c:numCache>
            </c:numRef>
          </c:xVal>
          <c:yVal>
            <c:numRef>
              <c:f>'F. sambucinum 5C'!$T$8:$T$13</c:f>
              <c:numCache>
                <c:formatCode>General</c:formatCode>
                <c:ptCount val="6"/>
                <c:pt idx="0">
                  <c:v>9.5</c:v>
                </c:pt>
                <c:pt idx="1">
                  <c:v>14.5</c:v>
                </c:pt>
                <c:pt idx="2">
                  <c:v>14.5</c:v>
                </c:pt>
                <c:pt idx="3">
                  <c:v>14.5</c:v>
                </c:pt>
                <c:pt idx="4">
                  <c:v>14.5</c:v>
                </c:pt>
                <c:pt idx="5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1472"/>
        <c:axId val="224131864"/>
      </c:scatterChart>
      <c:valAx>
        <c:axId val="224131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1864"/>
        <c:crosses val="autoZero"/>
        <c:crossBetween val="midCat"/>
      </c:valAx>
      <c:valAx>
        <c:axId val="224131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1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316145915683523"/>
                  <c:y val="-0.161886212371802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5C'!$C$9:$C$16</c:f>
              <c:numCache>
                <c:formatCode>General</c:formatCode>
                <c:ptCount val="8"/>
                <c:pt idx="0">
                  <c:v>10.239583333333334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17.201249999999998</c:v>
                </c:pt>
                <c:pt idx="4">
                  <c:v>20.09</c:v>
                </c:pt>
                <c:pt idx="5">
                  <c:v>22.18041666666667</c:v>
                </c:pt>
                <c:pt idx="6">
                  <c:v>24.229166666666668</c:v>
                </c:pt>
                <c:pt idx="7">
                  <c:v>26.291666666666668</c:v>
                </c:pt>
              </c:numCache>
            </c:numRef>
          </c:xVal>
          <c:yVal>
            <c:numRef>
              <c:f>'F. oxysporum 5C'!$T$9:$T$16</c:f>
              <c:numCache>
                <c:formatCode>General</c:formatCode>
                <c:ptCount val="8"/>
                <c:pt idx="0">
                  <c:v>9.5</c:v>
                </c:pt>
                <c:pt idx="1">
                  <c:v>13</c:v>
                </c:pt>
                <c:pt idx="2">
                  <c:v>15.5</c:v>
                </c:pt>
                <c:pt idx="3">
                  <c:v>20</c:v>
                </c:pt>
                <c:pt idx="4">
                  <c:v>25</c:v>
                </c:pt>
                <c:pt idx="5">
                  <c:v>28</c:v>
                </c:pt>
                <c:pt idx="6">
                  <c:v>32.5</c:v>
                </c:pt>
                <c:pt idx="7">
                  <c:v>35.5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51016"/>
        <c:axId val="405351408"/>
      </c:scatterChart>
      <c:valAx>
        <c:axId val="405351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1408"/>
        <c:crosses val="autoZero"/>
        <c:crossBetween val="midCat"/>
      </c:valAx>
      <c:valAx>
        <c:axId val="40535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1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6881349484763176E-2"/>
                  <c:y val="-0.1617619358776230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5C'!$C$9:$C$16</c:f>
              <c:numCache>
                <c:formatCode>General</c:formatCode>
                <c:ptCount val="8"/>
                <c:pt idx="0">
                  <c:v>10.239583333333334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17.201249999999998</c:v>
                </c:pt>
                <c:pt idx="4">
                  <c:v>20.09</c:v>
                </c:pt>
                <c:pt idx="5">
                  <c:v>22.18041666666667</c:v>
                </c:pt>
                <c:pt idx="6">
                  <c:v>24.229166666666668</c:v>
                </c:pt>
                <c:pt idx="7">
                  <c:v>26.291666666666668</c:v>
                </c:pt>
              </c:numCache>
            </c:numRef>
          </c:xVal>
          <c:yVal>
            <c:numRef>
              <c:f>'F. oxysporum 5C'!$U$9:$U$16</c:f>
              <c:numCache>
                <c:formatCode>General</c:formatCode>
                <c:ptCount val="8"/>
                <c:pt idx="0">
                  <c:v>10</c:v>
                </c:pt>
                <c:pt idx="1">
                  <c:v>12</c:v>
                </c:pt>
                <c:pt idx="2">
                  <c:v>15.5</c:v>
                </c:pt>
                <c:pt idx="3">
                  <c:v>17</c:v>
                </c:pt>
                <c:pt idx="4">
                  <c:v>24</c:v>
                </c:pt>
                <c:pt idx="5">
                  <c:v>27</c:v>
                </c:pt>
                <c:pt idx="6">
                  <c:v>30.5</c:v>
                </c:pt>
                <c:pt idx="7">
                  <c:v>32.5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17752"/>
        <c:axId val="226818144"/>
      </c:scatterChart>
      <c:valAx>
        <c:axId val="22681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8144"/>
        <c:crosses val="autoZero"/>
        <c:crossBetween val="midCat"/>
      </c:valAx>
      <c:valAx>
        <c:axId val="22681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7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5367598199606163E-2"/>
                  <c:y val="-0.189929401986017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5C'!$C$9:$C$16</c:f>
              <c:numCache>
                <c:formatCode>General</c:formatCode>
                <c:ptCount val="8"/>
                <c:pt idx="0">
                  <c:v>10.239583333333334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17.201249999999998</c:v>
                </c:pt>
                <c:pt idx="4">
                  <c:v>20.09</c:v>
                </c:pt>
                <c:pt idx="5">
                  <c:v>22.18041666666667</c:v>
                </c:pt>
                <c:pt idx="6">
                  <c:v>24.229166666666668</c:v>
                </c:pt>
                <c:pt idx="7">
                  <c:v>26.291666666666668</c:v>
                </c:pt>
              </c:numCache>
            </c:numRef>
          </c:xVal>
          <c:yVal>
            <c:numRef>
              <c:f>'F. oxysporum 5C'!$V$9:$V$16</c:f>
              <c:numCache>
                <c:formatCode>General</c:formatCode>
                <c:ptCount val="8"/>
                <c:pt idx="0">
                  <c:v>10</c:v>
                </c:pt>
                <c:pt idx="1">
                  <c:v>12.5</c:v>
                </c:pt>
                <c:pt idx="2">
                  <c:v>14.5</c:v>
                </c:pt>
                <c:pt idx="3">
                  <c:v>19</c:v>
                </c:pt>
                <c:pt idx="4">
                  <c:v>24.5</c:v>
                </c:pt>
                <c:pt idx="5">
                  <c:v>27.5</c:v>
                </c:pt>
                <c:pt idx="6">
                  <c:v>31</c:v>
                </c:pt>
                <c:pt idx="7">
                  <c:v>35.5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18928"/>
        <c:axId val="226819320"/>
      </c:scatterChart>
      <c:valAx>
        <c:axId val="226818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9320"/>
        <c:crosses val="autoZero"/>
        <c:crossBetween val="midCat"/>
      </c:valAx>
      <c:valAx>
        <c:axId val="22681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8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8773101510875757E-2"/>
                  <c:y val="-0.173745575973987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5C'!$C$28:$C$37</c:f>
              <c:numCache>
                <c:formatCode>General</c:formatCode>
                <c:ptCount val="10"/>
                <c:pt idx="0">
                  <c:v>6.375</c:v>
                </c:pt>
                <c:pt idx="1">
                  <c:v>8.1941666666666659</c:v>
                </c:pt>
                <c:pt idx="2">
                  <c:v>10.239583333333334</c:v>
                </c:pt>
                <c:pt idx="3">
                  <c:v>13.020833333333334</c:v>
                </c:pt>
                <c:pt idx="4">
                  <c:v>15.208333333333334</c:v>
                </c:pt>
                <c:pt idx="5">
                  <c:v>17.201249999999998</c:v>
                </c:pt>
                <c:pt idx="6">
                  <c:v>20.09</c:v>
                </c:pt>
                <c:pt idx="7">
                  <c:v>22.18041666666667</c:v>
                </c:pt>
                <c:pt idx="8">
                  <c:v>24.229166666666668</c:v>
                </c:pt>
                <c:pt idx="9">
                  <c:v>26.291666666666668</c:v>
                </c:pt>
              </c:numCache>
            </c:numRef>
          </c:xVal>
          <c:yVal>
            <c:numRef>
              <c:f>'F. oxysporum 5C'!$Q$28:$Q$37</c:f>
              <c:numCache>
                <c:formatCode>General</c:formatCode>
                <c:ptCount val="10"/>
                <c:pt idx="0">
                  <c:v>9.5</c:v>
                </c:pt>
                <c:pt idx="1">
                  <c:v>13.5</c:v>
                </c:pt>
                <c:pt idx="2">
                  <c:v>17</c:v>
                </c:pt>
                <c:pt idx="3">
                  <c:v>25.5</c:v>
                </c:pt>
                <c:pt idx="4">
                  <c:v>31</c:v>
                </c:pt>
                <c:pt idx="5">
                  <c:v>36</c:v>
                </c:pt>
                <c:pt idx="6">
                  <c:v>42.5</c:v>
                </c:pt>
                <c:pt idx="7">
                  <c:v>48.5</c:v>
                </c:pt>
                <c:pt idx="8">
                  <c:v>54</c:v>
                </c:pt>
                <c:pt idx="9">
                  <c:v>60.5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20104"/>
        <c:axId val="226820496"/>
      </c:scatterChart>
      <c:valAx>
        <c:axId val="226820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0496"/>
        <c:crosses val="autoZero"/>
        <c:crossBetween val="midCat"/>
      </c:valAx>
      <c:valAx>
        <c:axId val="22682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0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83594066489532"/>
                  <c:y val="-0.193593273726634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5C'!$C$28:$C$37</c:f>
              <c:numCache>
                <c:formatCode>General</c:formatCode>
                <c:ptCount val="10"/>
                <c:pt idx="0">
                  <c:v>6.375</c:v>
                </c:pt>
                <c:pt idx="1">
                  <c:v>8.1941666666666659</c:v>
                </c:pt>
                <c:pt idx="2">
                  <c:v>10.239583333333334</c:v>
                </c:pt>
                <c:pt idx="3">
                  <c:v>13.020833333333334</c:v>
                </c:pt>
                <c:pt idx="4">
                  <c:v>15.208333333333334</c:v>
                </c:pt>
                <c:pt idx="5">
                  <c:v>17.201249999999998</c:v>
                </c:pt>
                <c:pt idx="6">
                  <c:v>20.09</c:v>
                </c:pt>
                <c:pt idx="7">
                  <c:v>22.18041666666667</c:v>
                </c:pt>
                <c:pt idx="8">
                  <c:v>24.229166666666668</c:v>
                </c:pt>
                <c:pt idx="9">
                  <c:v>26.291666666666668</c:v>
                </c:pt>
              </c:numCache>
            </c:numRef>
          </c:xVal>
          <c:yVal>
            <c:numRef>
              <c:f>'F. oxysporum 5C'!$R$28:$R$37</c:f>
              <c:numCache>
                <c:formatCode>General</c:formatCode>
                <c:ptCount val="10"/>
                <c:pt idx="0">
                  <c:v>9.5</c:v>
                </c:pt>
                <c:pt idx="1">
                  <c:v>12.5</c:v>
                </c:pt>
                <c:pt idx="2">
                  <c:v>20</c:v>
                </c:pt>
                <c:pt idx="3">
                  <c:v>25</c:v>
                </c:pt>
                <c:pt idx="4">
                  <c:v>30.5</c:v>
                </c:pt>
                <c:pt idx="5">
                  <c:v>35.5</c:v>
                </c:pt>
                <c:pt idx="6">
                  <c:v>43.5</c:v>
                </c:pt>
                <c:pt idx="7">
                  <c:v>47.5</c:v>
                </c:pt>
                <c:pt idx="8">
                  <c:v>53.5</c:v>
                </c:pt>
                <c:pt idx="9">
                  <c:v>59.5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21280"/>
        <c:axId val="405716520"/>
      </c:scatterChart>
      <c:valAx>
        <c:axId val="226821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6520"/>
        <c:crosses val="autoZero"/>
        <c:crossBetween val="midCat"/>
      </c:valAx>
      <c:valAx>
        <c:axId val="405716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1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3828355596191702E-2"/>
                  <c:y val="-0.2021035388700450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5C'!$C$28:$C$37</c:f>
              <c:numCache>
                <c:formatCode>General</c:formatCode>
                <c:ptCount val="10"/>
                <c:pt idx="0">
                  <c:v>6.375</c:v>
                </c:pt>
                <c:pt idx="1">
                  <c:v>8.1941666666666659</c:v>
                </c:pt>
                <c:pt idx="2">
                  <c:v>10.239583333333334</c:v>
                </c:pt>
                <c:pt idx="3">
                  <c:v>13.020833333333334</c:v>
                </c:pt>
                <c:pt idx="4">
                  <c:v>15.208333333333334</c:v>
                </c:pt>
                <c:pt idx="5">
                  <c:v>17.201249999999998</c:v>
                </c:pt>
                <c:pt idx="6">
                  <c:v>20.09</c:v>
                </c:pt>
                <c:pt idx="7">
                  <c:v>22.18041666666667</c:v>
                </c:pt>
                <c:pt idx="8">
                  <c:v>24.229166666666668</c:v>
                </c:pt>
                <c:pt idx="9">
                  <c:v>26.291666666666668</c:v>
                </c:pt>
              </c:numCache>
            </c:numRef>
          </c:xVal>
          <c:yVal>
            <c:numRef>
              <c:f>'F. oxysporum 5C'!$S$28:$S$37</c:f>
              <c:numCache>
                <c:formatCode>General</c:formatCode>
                <c:ptCount val="10"/>
                <c:pt idx="0">
                  <c:v>9.5</c:v>
                </c:pt>
                <c:pt idx="1">
                  <c:v>14.5</c:v>
                </c:pt>
                <c:pt idx="2">
                  <c:v>17</c:v>
                </c:pt>
                <c:pt idx="3">
                  <c:v>24.5</c:v>
                </c:pt>
                <c:pt idx="4">
                  <c:v>29.5</c:v>
                </c:pt>
                <c:pt idx="5">
                  <c:v>35.5</c:v>
                </c:pt>
                <c:pt idx="6">
                  <c:v>41.5</c:v>
                </c:pt>
                <c:pt idx="7">
                  <c:v>46.5</c:v>
                </c:pt>
                <c:pt idx="8">
                  <c:v>53.5</c:v>
                </c:pt>
                <c:pt idx="9">
                  <c:v>60.5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7304"/>
        <c:axId val="405717696"/>
      </c:scatterChart>
      <c:valAx>
        <c:axId val="405717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7696"/>
        <c:crosses val="autoZero"/>
        <c:crossBetween val="midCat"/>
      </c:valAx>
      <c:valAx>
        <c:axId val="40571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7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5009287989546781E-2"/>
                  <c:y val="-0.164893314766162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5C'!$C$28:$C$37</c:f>
              <c:numCache>
                <c:formatCode>General</c:formatCode>
                <c:ptCount val="10"/>
                <c:pt idx="0">
                  <c:v>6.375</c:v>
                </c:pt>
                <c:pt idx="1">
                  <c:v>8.1941666666666659</c:v>
                </c:pt>
                <c:pt idx="2">
                  <c:v>10.239583333333334</c:v>
                </c:pt>
                <c:pt idx="3">
                  <c:v>13.020833333333334</c:v>
                </c:pt>
                <c:pt idx="4">
                  <c:v>15.208333333333334</c:v>
                </c:pt>
                <c:pt idx="5">
                  <c:v>17.201249999999998</c:v>
                </c:pt>
                <c:pt idx="6">
                  <c:v>20.09</c:v>
                </c:pt>
                <c:pt idx="7">
                  <c:v>22.18041666666667</c:v>
                </c:pt>
                <c:pt idx="8">
                  <c:v>24.229166666666668</c:v>
                </c:pt>
                <c:pt idx="9">
                  <c:v>26.291666666666668</c:v>
                </c:pt>
              </c:numCache>
            </c:numRef>
          </c:xVal>
          <c:yVal>
            <c:numRef>
              <c:f>'F. oxysporum 5C'!$T$28:$T$37</c:f>
              <c:numCache>
                <c:formatCode>General</c:formatCode>
                <c:ptCount val="10"/>
                <c:pt idx="0">
                  <c:v>11.5</c:v>
                </c:pt>
                <c:pt idx="1">
                  <c:v>15</c:v>
                </c:pt>
                <c:pt idx="2">
                  <c:v>20</c:v>
                </c:pt>
                <c:pt idx="3">
                  <c:v>25.5</c:v>
                </c:pt>
                <c:pt idx="4">
                  <c:v>31.5</c:v>
                </c:pt>
                <c:pt idx="5">
                  <c:v>36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8480"/>
        <c:axId val="405718872"/>
      </c:scatterChart>
      <c:valAx>
        <c:axId val="405718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8872"/>
        <c:crosses val="autoZero"/>
        <c:crossBetween val="midCat"/>
      </c:valAx>
      <c:valAx>
        <c:axId val="40571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8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2617435493525413E-2"/>
                  <c:y val="-0.170838784809060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5C'!$C$28:$C$37</c:f>
              <c:numCache>
                <c:formatCode>General</c:formatCode>
                <c:ptCount val="10"/>
                <c:pt idx="0">
                  <c:v>6.375</c:v>
                </c:pt>
                <c:pt idx="1">
                  <c:v>8.1941666666666659</c:v>
                </c:pt>
                <c:pt idx="2">
                  <c:v>10.239583333333334</c:v>
                </c:pt>
                <c:pt idx="3">
                  <c:v>13.020833333333334</c:v>
                </c:pt>
                <c:pt idx="4">
                  <c:v>15.208333333333334</c:v>
                </c:pt>
                <c:pt idx="5">
                  <c:v>17.201249999999998</c:v>
                </c:pt>
                <c:pt idx="6">
                  <c:v>20.09</c:v>
                </c:pt>
                <c:pt idx="7">
                  <c:v>22.18041666666667</c:v>
                </c:pt>
                <c:pt idx="8">
                  <c:v>24.229166666666668</c:v>
                </c:pt>
                <c:pt idx="9">
                  <c:v>26.291666666666668</c:v>
                </c:pt>
              </c:numCache>
            </c:numRef>
          </c:xVal>
          <c:yVal>
            <c:numRef>
              <c:f>'F. oxysporum 5C'!$U$28:$U$37</c:f>
              <c:numCache>
                <c:formatCode>General</c:formatCode>
                <c:ptCount val="10"/>
                <c:pt idx="0">
                  <c:v>10.5</c:v>
                </c:pt>
                <c:pt idx="1">
                  <c:v>14.5</c:v>
                </c:pt>
                <c:pt idx="2">
                  <c:v>20</c:v>
                </c:pt>
                <c:pt idx="3">
                  <c:v>27</c:v>
                </c:pt>
                <c:pt idx="4">
                  <c:v>32.5</c:v>
                </c:pt>
                <c:pt idx="5">
                  <c:v>37</c:v>
                </c:pt>
                <c:pt idx="6">
                  <c:v>45.5</c:v>
                </c:pt>
                <c:pt idx="7">
                  <c:v>50.5</c:v>
                </c:pt>
                <c:pt idx="8">
                  <c:v>56.5</c:v>
                </c:pt>
                <c:pt idx="9">
                  <c:v>62.5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9656"/>
        <c:axId val="405720048"/>
      </c:scatterChart>
      <c:valAx>
        <c:axId val="405719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20048"/>
        <c:crosses val="autoZero"/>
        <c:crossBetween val="midCat"/>
      </c:valAx>
      <c:valAx>
        <c:axId val="40572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9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079078281817687E-2"/>
                  <c:y val="-0.196799618367468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5C'!$C$28:$C$37</c:f>
              <c:numCache>
                <c:formatCode>General</c:formatCode>
                <c:ptCount val="10"/>
                <c:pt idx="0">
                  <c:v>6.375</c:v>
                </c:pt>
                <c:pt idx="1">
                  <c:v>8.1941666666666659</c:v>
                </c:pt>
                <c:pt idx="2">
                  <c:v>10.239583333333334</c:v>
                </c:pt>
                <c:pt idx="3">
                  <c:v>13.020833333333334</c:v>
                </c:pt>
                <c:pt idx="4">
                  <c:v>15.208333333333334</c:v>
                </c:pt>
                <c:pt idx="5">
                  <c:v>17.201249999999998</c:v>
                </c:pt>
                <c:pt idx="6">
                  <c:v>20.09</c:v>
                </c:pt>
                <c:pt idx="7">
                  <c:v>22.18041666666667</c:v>
                </c:pt>
                <c:pt idx="8">
                  <c:v>24.229166666666668</c:v>
                </c:pt>
                <c:pt idx="9">
                  <c:v>26.291666666666668</c:v>
                </c:pt>
              </c:numCache>
            </c:numRef>
          </c:xVal>
          <c:yVal>
            <c:numRef>
              <c:f>'F. oxysporum 5C'!$V$28:$V$37</c:f>
              <c:numCache>
                <c:formatCode>General</c:formatCode>
                <c:ptCount val="10"/>
                <c:pt idx="0">
                  <c:v>9.5</c:v>
                </c:pt>
                <c:pt idx="1">
                  <c:v>14</c:v>
                </c:pt>
                <c:pt idx="2">
                  <c:v>18.5</c:v>
                </c:pt>
                <c:pt idx="3">
                  <c:v>23.5</c:v>
                </c:pt>
                <c:pt idx="4">
                  <c:v>31</c:v>
                </c:pt>
                <c:pt idx="5">
                  <c:v>33.5</c:v>
                </c:pt>
                <c:pt idx="6">
                  <c:v>42</c:v>
                </c:pt>
                <c:pt idx="7">
                  <c:v>48.5</c:v>
                </c:pt>
                <c:pt idx="8">
                  <c:v>53</c:v>
                </c:pt>
                <c:pt idx="9">
                  <c:v>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64232"/>
        <c:axId val="404964624"/>
      </c:scatterChart>
      <c:valAx>
        <c:axId val="40496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4964624"/>
        <c:crosses val="autoZero"/>
        <c:crossBetween val="midCat"/>
      </c:valAx>
      <c:valAx>
        <c:axId val="40496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4964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0878973297827991"/>
                  <c:y val="-0.179750877641908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10C'!$C$7:$C$11</c:f>
              <c:numCache>
                <c:formatCode>General</c:formatCode>
                <c:ptCount val="5"/>
                <c:pt idx="0">
                  <c:v>6.180416666666666</c:v>
                </c:pt>
                <c:pt idx="1">
                  <c:v>8.0416666666666661</c:v>
                </c:pt>
                <c:pt idx="2">
                  <c:v>10.041666666666666</c:v>
                </c:pt>
                <c:pt idx="3">
                  <c:v>12.847083333333332</c:v>
                </c:pt>
                <c:pt idx="4">
                  <c:v>15.034583333333332</c:v>
                </c:pt>
              </c:numCache>
            </c:numRef>
          </c:xVal>
          <c:yVal>
            <c:numRef>
              <c:f>'F. oxysporum 10C'!$Q$7:$Q$11</c:f>
              <c:numCache>
                <c:formatCode>General</c:formatCode>
                <c:ptCount val="5"/>
                <c:pt idx="0">
                  <c:v>7</c:v>
                </c:pt>
                <c:pt idx="1">
                  <c:v>13</c:v>
                </c:pt>
                <c:pt idx="2">
                  <c:v>18.5</c:v>
                </c:pt>
                <c:pt idx="3">
                  <c:v>26.5</c:v>
                </c:pt>
                <c:pt idx="4">
                  <c:v>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BE-40F6-9D97-4F86B557C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9576"/>
        <c:axId val="226679968"/>
      </c:scatterChart>
      <c:valAx>
        <c:axId val="226679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9968"/>
        <c:crosses val="autoZero"/>
        <c:crossBetween val="midCat"/>
      </c:valAx>
      <c:valAx>
        <c:axId val="22667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9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308257455939678"/>
                  <c:y val="-0.196722240705827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5C'!$C$8:$C$16</c:f>
              <c:numCache>
                <c:formatCode>General</c:formatCode>
                <c:ptCount val="9"/>
                <c:pt idx="0">
                  <c:v>8.1875</c:v>
                </c:pt>
                <c:pt idx="1">
                  <c:v>10.233333333333333</c:v>
                </c:pt>
                <c:pt idx="2">
                  <c:v>13.020833333333334</c:v>
                </c:pt>
                <c:pt idx="3">
                  <c:v>15.208333333333334</c:v>
                </c:pt>
                <c:pt idx="4">
                  <c:v>17.197916666666668</c:v>
                </c:pt>
                <c:pt idx="5">
                  <c:v>20.083333333333332</c:v>
                </c:pt>
                <c:pt idx="6">
                  <c:v>22.229166666666668</c:v>
                </c:pt>
                <c:pt idx="7">
                  <c:v>24.229166666666668</c:v>
                </c:pt>
                <c:pt idx="8">
                  <c:v>26.291666666666668</c:v>
                </c:pt>
              </c:numCache>
            </c:numRef>
          </c:xVal>
          <c:yVal>
            <c:numRef>
              <c:f>'F. sambucinum 5C'!$U$12:$U$18</c:f>
              <c:numCache>
                <c:formatCode>General</c:formatCode>
                <c:ptCount val="7"/>
                <c:pt idx="0">
                  <c:v>11.5</c:v>
                </c:pt>
                <c:pt idx="1">
                  <c:v>15</c:v>
                </c:pt>
                <c:pt idx="2">
                  <c:v>17</c:v>
                </c:pt>
                <c:pt idx="3">
                  <c:v>20</c:v>
                </c:pt>
                <c:pt idx="4">
                  <c:v>23.5</c:v>
                </c:pt>
                <c:pt idx="5">
                  <c:v>29.5</c:v>
                </c:pt>
                <c:pt idx="6">
                  <c:v>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2648"/>
        <c:axId val="224133040"/>
      </c:scatterChart>
      <c:valAx>
        <c:axId val="224132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3040"/>
        <c:crosses val="autoZero"/>
        <c:crossBetween val="midCat"/>
      </c:valAx>
      <c:valAx>
        <c:axId val="22413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2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261987595390329"/>
          <c:y val="0.18865436419816917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016169400358753"/>
                  <c:y val="-0.1663956478075164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10C'!$C$7:$C$11</c:f>
              <c:numCache>
                <c:formatCode>General</c:formatCode>
                <c:ptCount val="5"/>
                <c:pt idx="0">
                  <c:v>6.180416666666666</c:v>
                </c:pt>
                <c:pt idx="1">
                  <c:v>8.0416666666666661</c:v>
                </c:pt>
                <c:pt idx="2">
                  <c:v>10.041666666666666</c:v>
                </c:pt>
                <c:pt idx="3">
                  <c:v>12.847083333333332</c:v>
                </c:pt>
                <c:pt idx="4">
                  <c:v>15.034583333333332</c:v>
                </c:pt>
              </c:numCache>
            </c:numRef>
          </c:xVal>
          <c:yVal>
            <c:numRef>
              <c:f>'F. oxysporum 10C'!$R$7:$R$11</c:f>
              <c:numCache>
                <c:formatCode>General</c:formatCode>
                <c:ptCount val="5"/>
                <c:pt idx="0">
                  <c:v>11.5</c:v>
                </c:pt>
                <c:pt idx="1">
                  <c:v>15.5</c:v>
                </c:pt>
                <c:pt idx="2">
                  <c:v>20</c:v>
                </c:pt>
                <c:pt idx="3">
                  <c:v>30</c:v>
                </c:pt>
                <c:pt idx="4">
                  <c:v>35.5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27-4282-9FF6-EA27C10F1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48664"/>
        <c:axId val="405349056"/>
      </c:scatterChart>
      <c:valAx>
        <c:axId val="405348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9056"/>
        <c:crosses val="autoZero"/>
        <c:crossBetween val="midCat"/>
      </c:valAx>
      <c:valAx>
        <c:axId val="40534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8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50259194569509"/>
                  <c:y val="-0.1752991343637775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10C'!$C$7:$C$11</c:f>
              <c:numCache>
                <c:formatCode>General</c:formatCode>
                <c:ptCount val="5"/>
                <c:pt idx="0">
                  <c:v>6.180416666666666</c:v>
                </c:pt>
                <c:pt idx="1">
                  <c:v>8.0416666666666661</c:v>
                </c:pt>
                <c:pt idx="2">
                  <c:v>10.041666666666666</c:v>
                </c:pt>
                <c:pt idx="3">
                  <c:v>12.847083333333332</c:v>
                </c:pt>
                <c:pt idx="4">
                  <c:v>15.034583333333332</c:v>
                </c:pt>
              </c:numCache>
            </c:numRef>
          </c:xVal>
          <c:yVal>
            <c:numRef>
              <c:f>'F. oxysporum 10C'!$S$7:$S$11</c:f>
              <c:numCache>
                <c:formatCode>General</c:formatCode>
                <c:ptCount val="5"/>
                <c:pt idx="0">
                  <c:v>11</c:v>
                </c:pt>
                <c:pt idx="1">
                  <c:v>15</c:v>
                </c:pt>
                <c:pt idx="2">
                  <c:v>22</c:v>
                </c:pt>
                <c:pt idx="3">
                  <c:v>30</c:v>
                </c:pt>
                <c:pt idx="4">
                  <c:v>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92-4AC0-B605-A235151A5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49840"/>
        <c:axId val="405350232"/>
      </c:scatterChart>
      <c:valAx>
        <c:axId val="405349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0232"/>
        <c:crosses val="autoZero"/>
        <c:crossBetween val="midCat"/>
      </c:valAx>
      <c:valAx>
        <c:axId val="405350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9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695033294852297"/>
                  <c:y val="-0.1628696568126569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10C'!$C$5:$C$11</c:f>
              <c:numCache>
                <c:formatCode>General</c:formatCode>
                <c:ptCount val="7"/>
                <c:pt idx="0">
                  <c:v>2.125</c:v>
                </c:pt>
                <c:pt idx="1">
                  <c:v>4.1387499999999999</c:v>
                </c:pt>
                <c:pt idx="2">
                  <c:v>6.180416666666666</c:v>
                </c:pt>
                <c:pt idx="3">
                  <c:v>8.0416666666666661</c:v>
                </c:pt>
                <c:pt idx="4">
                  <c:v>10.041666666666666</c:v>
                </c:pt>
                <c:pt idx="5">
                  <c:v>12.847083333333332</c:v>
                </c:pt>
                <c:pt idx="6">
                  <c:v>15.034583333333332</c:v>
                </c:pt>
              </c:numCache>
            </c:numRef>
          </c:xVal>
          <c:yVal>
            <c:numRef>
              <c:f>'F. oxysporum 10C'!$T$7:$T$11</c:f>
              <c:numCache>
                <c:formatCode>General</c:formatCode>
                <c:ptCount val="5"/>
                <c:pt idx="0">
                  <c:v>12</c:v>
                </c:pt>
                <c:pt idx="1">
                  <c:v>15</c:v>
                </c:pt>
                <c:pt idx="2">
                  <c:v>20.5</c:v>
                </c:pt>
                <c:pt idx="3">
                  <c:v>29</c:v>
                </c:pt>
                <c:pt idx="4">
                  <c:v>35.5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75-4036-BFB0-6117B52C1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51016"/>
        <c:axId val="405351408"/>
      </c:scatterChart>
      <c:valAx>
        <c:axId val="405351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1408"/>
        <c:crosses val="autoZero"/>
        <c:crossBetween val="midCat"/>
      </c:valAx>
      <c:valAx>
        <c:axId val="40535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1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50259194569509"/>
                  <c:y val="-0.2066527272185542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10C'!$C$7:$C$11</c:f>
              <c:numCache>
                <c:formatCode>General</c:formatCode>
                <c:ptCount val="5"/>
                <c:pt idx="0">
                  <c:v>6.180416666666666</c:v>
                </c:pt>
                <c:pt idx="1">
                  <c:v>8.0416666666666661</c:v>
                </c:pt>
                <c:pt idx="2">
                  <c:v>10.041666666666666</c:v>
                </c:pt>
                <c:pt idx="3">
                  <c:v>12.847083333333332</c:v>
                </c:pt>
                <c:pt idx="4">
                  <c:v>15.034583333333332</c:v>
                </c:pt>
              </c:numCache>
            </c:numRef>
          </c:xVal>
          <c:yVal>
            <c:numRef>
              <c:f>'F. oxysporum 10C'!$U$7:$U$11</c:f>
              <c:numCache>
                <c:formatCode>General</c:formatCode>
                <c:ptCount val="5"/>
                <c:pt idx="0">
                  <c:v>10</c:v>
                </c:pt>
                <c:pt idx="1">
                  <c:v>14.5</c:v>
                </c:pt>
                <c:pt idx="2">
                  <c:v>18</c:v>
                </c:pt>
                <c:pt idx="3">
                  <c:v>26</c:v>
                </c:pt>
                <c:pt idx="4">
                  <c:v>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8F-494E-AB9C-8AF883A36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17752"/>
        <c:axId val="226818144"/>
      </c:scatterChart>
      <c:valAx>
        <c:axId val="22681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8144"/>
        <c:crosses val="autoZero"/>
        <c:crossBetween val="midCat"/>
      </c:valAx>
      <c:valAx>
        <c:axId val="22681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7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869646516255086"/>
                  <c:y val="-0.1901945972662089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10C'!$C$5:$C$11</c:f>
              <c:numCache>
                <c:formatCode>General</c:formatCode>
                <c:ptCount val="7"/>
                <c:pt idx="0">
                  <c:v>2.125</c:v>
                </c:pt>
                <c:pt idx="1">
                  <c:v>4.1387499999999999</c:v>
                </c:pt>
                <c:pt idx="2">
                  <c:v>6.180416666666666</c:v>
                </c:pt>
                <c:pt idx="3">
                  <c:v>8.0416666666666661</c:v>
                </c:pt>
                <c:pt idx="4">
                  <c:v>10.041666666666666</c:v>
                </c:pt>
                <c:pt idx="5">
                  <c:v>12.847083333333332</c:v>
                </c:pt>
                <c:pt idx="6">
                  <c:v>15.034583333333332</c:v>
                </c:pt>
              </c:numCache>
            </c:numRef>
          </c:xVal>
          <c:yVal>
            <c:numRef>
              <c:f>'F. oxysporum 10C'!$V$7:$V$11</c:f>
              <c:numCache>
                <c:formatCode>General</c:formatCode>
                <c:ptCount val="5"/>
                <c:pt idx="0">
                  <c:v>11</c:v>
                </c:pt>
                <c:pt idx="1">
                  <c:v>15.5</c:v>
                </c:pt>
                <c:pt idx="2">
                  <c:v>20</c:v>
                </c:pt>
                <c:pt idx="3">
                  <c:v>27.5</c:v>
                </c:pt>
                <c:pt idx="4">
                  <c:v>34.5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EC-4A04-A9DF-6DAD26708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18928"/>
        <c:axId val="226819320"/>
      </c:scatterChart>
      <c:valAx>
        <c:axId val="226818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9320"/>
        <c:crosses val="autoZero"/>
        <c:crossBetween val="midCat"/>
      </c:valAx>
      <c:valAx>
        <c:axId val="22681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8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191103269774972"/>
                  <c:y val="-0.176494873566685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10C'!$C$27:$C$34</c:f>
              <c:numCache>
                <c:formatCode>General</c:formatCode>
                <c:ptCount val="8"/>
                <c:pt idx="0">
                  <c:v>4.1387499999999999</c:v>
                </c:pt>
                <c:pt idx="1">
                  <c:v>6.180416666666666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12.847083333333332</c:v>
                </c:pt>
                <c:pt idx="5">
                  <c:v>15.034583333333332</c:v>
                </c:pt>
                <c:pt idx="6">
                  <c:v>17.041666666666668</c:v>
                </c:pt>
                <c:pt idx="7">
                  <c:v>19.867916666666666</c:v>
                </c:pt>
              </c:numCache>
            </c:numRef>
          </c:xVal>
          <c:yVal>
            <c:numRef>
              <c:f>'F. oxysporum 10C'!$Q$27:$Q$34</c:f>
              <c:numCache>
                <c:formatCode>General</c:formatCode>
                <c:ptCount val="8"/>
                <c:pt idx="0">
                  <c:v>14.5</c:v>
                </c:pt>
                <c:pt idx="1">
                  <c:v>21.5</c:v>
                </c:pt>
                <c:pt idx="2">
                  <c:v>31</c:v>
                </c:pt>
                <c:pt idx="3">
                  <c:v>40.5</c:v>
                </c:pt>
                <c:pt idx="4">
                  <c:v>54</c:v>
                </c:pt>
                <c:pt idx="5">
                  <c:v>63.5</c:v>
                </c:pt>
                <c:pt idx="6">
                  <c:v>73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D8-4B3A-B26B-4E44D2159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20104"/>
        <c:axId val="226820496"/>
      </c:scatterChart>
      <c:valAx>
        <c:axId val="226820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0496"/>
        <c:crosses val="autoZero"/>
        <c:crossBetween val="midCat"/>
      </c:valAx>
      <c:valAx>
        <c:axId val="22682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0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56748462190787"/>
                  <c:y val="-0.1884001950254480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10C'!$C$27:$C$34</c:f>
              <c:numCache>
                <c:formatCode>General</c:formatCode>
                <c:ptCount val="8"/>
                <c:pt idx="0">
                  <c:v>4.1387499999999999</c:v>
                </c:pt>
                <c:pt idx="1">
                  <c:v>6.180416666666666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12.847083333333332</c:v>
                </c:pt>
                <c:pt idx="5">
                  <c:v>15.034583333333332</c:v>
                </c:pt>
                <c:pt idx="6">
                  <c:v>17.041666666666668</c:v>
                </c:pt>
                <c:pt idx="7">
                  <c:v>19.867916666666666</c:v>
                </c:pt>
              </c:numCache>
            </c:numRef>
          </c:xVal>
          <c:yVal>
            <c:numRef>
              <c:f>'F. oxysporum 10C'!$R$27:$R$34</c:f>
              <c:numCache>
                <c:formatCode>General</c:formatCode>
                <c:ptCount val="8"/>
                <c:pt idx="0">
                  <c:v>10.5</c:v>
                </c:pt>
                <c:pt idx="1">
                  <c:v>19.5</c:v>
                </c:pt>
                <c:pt idx="2">
                  <c:v>29</c:v>
                </c:pt>
                <c:pt idx="3">
                  <c:v>37.5</c:v>
                </c:pt>
                <c:pt idx="4">
                  <c:v>51.5</c:v>
                </c:pt>
                <c:pt idx="5">
                  <c:v>63.5</c:v>
                </c:pt>
                <c:pt idx="6">
                  <c:v>72.5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D7-43F7-969D-735C03B8C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21280"/>
        <c:axId val="405716520"/>
      </c:scatterChart>
      <c:valAx>
        <c:axId val="226821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6520"/>
        <c:crosses val="autoZero"/>
        <c:crossBetween val="midCat"/>
      </c:valAx>
      <c:valAx>
        <c:axId val="405716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1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320247326173667"/>
                  <c:y val="-0.184202938710797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10C'!$C$27:$C$34</c:f>
              <c:numCache>
                <c:formatCode>General</c:formatCode>
                <c:ptCount val="8"/>
                <c:pt idx="0">
                  <c:v>4.1387499999999999</c:v>
                </c:pt>
                <c:pt idx="1">
                  <c:v>6.180416666666666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12.847083333333332</c:v>
                </c:pt>
                <c:pt idx="5">
                  <c:v>15.034583333333332</c:v>
                </c:pt>
                <c:pt idx="6">
                  <c:v>17.041666666666668</c:v>
                </c:pt>
                <c:pt idx="7">
                  <c:v>19.867916666666666</c:v>
                </c:pt>
              </c:numCache>
            </c:numRef>
          </c:xVal>
          <c:yVal>
            <c:numRef>
              <c:f>'F. oxysporum 10C'!$S$27:$S$34</c:f>
              <c:numCache>
                <c:formatCode>General</c:formatCode>
                <c:ptCount val="8"/>
                <c:pt idx="0">
                  <c:v>13</c:v>
                </c:pt>
                <c:pt idx="1">
                  <c:v>22.5</c:v>
                </c:pt>
                <c:pt idx="2">
                  <c:v>30.5</c:v>
                </c:pt>
                <c:pt idx="3">
                  <c:v>40.5</c:v>
                </c:pt>
                <c:pt idx="4">
                  <c:v>54</c:v>
                </c:pt>
                <c:pt idx="5">
                  <c:v>63</c:v>
                </c:pt>
                <c:pt idx="6">
                  <c:v>73.5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4C-48E9-9EB7-269624FA2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7304"/>
        <c:axId val="405717696"/>
      </c:scatterChart>
      <c:valAx>
        <c:axId val="405717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7696"/>
        <c:crosses val="autoZero"/>
        <c:crossBetween val="midCat"/>
      </c:valAx>
      <c:valAx>
        <c:axId val="40571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7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016490048372183"/>
                  <c:y val="-0.170838784809060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10C'!$C$27:$C$34</c:f>
              <c:numCache>
                <c:formatCode>General</c:formatCode>
                <c:ptCount val="8"/>
                <c:pt idx="0">
                  <c:v>4.1387499999999999</c:v>
                </c:pt>
                <c:pt idx="1">
                  <c:v>6.180416666666666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12.847083333333332</c:v>
                </c:pt>
                <c:pt idx="5">
                  <c:v>15.034583333333332</c:v>
                </c:pt>
                <c:pt idx="6">
                  <c:v>17.041666666666668</c:v>
                </c:pt>
                <c:pt idx="7">
                  <c:v>19.867916666666666</c:v>
                </c:pt>
              </c:numCache>
            </c:numRef>
          </c:xVal>
          <c:yVal>
            <c:numRef>
              <c:f>'F. oxysporum 10C'!$T$27:$T$34</c:f>
              <c:numCache>
                <c:formatCode>General</c:formatCode>
                <c:ptCount val="8"/>
                <c:pt idx="0">
                  <c:v>15</c:v>
                </c:pt>
                <c:pt idx="1">
                  <c:v>23</c:v>
                </c:pt>
                <c:pt idx="2">
                  <c:v>25.5</c:v>
                </c:pt>
                <c:pt idx="3">
                  <c:v>42</c:v>
                </c:pt>
                <c:pt idx="4">
                  <c:v>55</c:v>
                </c:pt>
                <c:pt idx="5">
                  <c:v>67</c:v>
                </c:pt>
                <c:pt idx="6">
                  <c:v>77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86-4411-B446-C94AD80FE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8480"/>
        <c:axId val="405718872"/>
      </c:scatterChart>
      <c:valAx>
        <c:axId val="405718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8872"/>
        <c:crosses val="autoZero"/>
        <c:crossBetween val="midCat"/>
      </c:valAx>
      <c:valAx>
        <c:axId val="40571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8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715731541501821"/>
                  <c:y val="-0.1663840668418154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10C'!$C$27:$C$34</c:f>
              <c:numCache>
                <c:formatCode>General</c:formatCode>
                <c:ptCount val="8"/>
                <c:pt idx="0">
                  <c:v>4.1387499999999999</c:v>
                </c:pt>
                <c:pt idx="1">
                  <c:v>6.180416666666666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12.847083333333332</c:v>
                </c:pt>
                <c:pt idx="5">
                  <c:v>15.034583333333332</c:v>
                </c:pt>
                <c:pt idx="6">
                  <c:v>17.041666666666668</c:v>
                </c:pt>
                <c:pt idx="7">
                  <c:v>19.867916666666666</c:v>
                </c:pt>
              </c:numCache>
            </c:numRef>
          </c:xVal>
          <c:yVal>
            <c:numRef>
              <c:f>'F. oxysporum 10C'!$U$27:$U$34</c:f>
              <c:numCache>
                <c:formatCode>General</c:formatCode>
                <c:ptCount val="8"/>
                <c:pt idx="0">
                  <c:v>15</c:v>
                </c:pt>
                <c:pt idx="1">
                  <c:v>24</c:v>
                </c:pt>
                <c:pt idx="2">
                  <c:v>27.5</c:v>
                </c:pt>
                <c:pt idx="3">
                  <c:v>41</c:v>
                </c:pt>
                <c:pt idx="4">
                  <c:v>54</c:v>
                </c:pt>
                <c:pt idx="5">
                  <c:v>64.5</c:v>
                </c:pt>
                <c:pt idx="6">
                  <c:v>74.5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C3-49A3-956C-FBF5A822A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9656"/>
        <c:axId val="405720048"/>
      </c:scatterChart>
      <c:valAx>
        <c:axId val="405719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20048"/>
        <c:crosses val="autoZero"/>
        <c:crossBetween val="midCat"/>
      </c:valAx>
      <c:valAx>
        <c:axId val="40572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9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18326496351684"/>
                  <c:y val="-0.190486368280308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5C'!$C$8:$C$15</c:f>
              <c:numCache>
                <c:formatCode>General</c:formatCode>
                <c:ptCount val="8"/>
                <c:pt idx="0">
                  <c:v>8.1875</c:v>
                </c:pt>
                <c:pt idx="1">
                  <c:v>10.233333333333333</c:v>
                </c:pt>
                <c:pt idx="2">
                  <c:v>13.020833333333334</c:v>
                </c:pt>
                <c:pt idx="3">
                  <c:v>15.208333333333334</c:v>
                </c:pt>
                <c:pt idx="4">
                  <c:v>17.197916666666668</c:v>
                </c:pt>
                <c:pt idx="5">
                  <c:v>20.083333333333332</c:v>
                </c:pt>
                <c:pt idx="6">
                  <c:v>22.229166666666668</c:v>
                </c:pt>
                <c:pt idx="7">
                  <c:v>24.229166666666668</c:v>
                </c:pt>
              </c:numCache>
            </c:numRef>
          </c:xVal>
          <c:yVal>
            <c:numRef>
              <c:f>'F. sambucinum 5C'!$V$12:$V$18</c:f>
              <c:numCache>
                <c:formatCode>General</c:formatCode>
                <c:ptCount val="7"/>
                <c:pt idx="0">
                  <c:v>10.5</c:v>
                </c:pt>
                <c:pt idx="1">
                  <c:v>12.5</c:v>
                </c:pt>
                <c:pt idx="2">
                  <c:v>16.5</c:v>
                </c:pt>
                <c:pt idx="3">
                  <c:v>18.5</c:v>
                </c:pt>
                <c:pt idx="4">
                  <c:v>23</c:v>
                </c:pt>
                <c:pt idx="5">
                  <c:v>28</c:v>
                </c:pt>
                <c:pt idx="6">
                  <c:v>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4216"/>
        <c:axId val="224134608"/>
      </c:scatterChart>
      <c:valAx>
        <c:axId val="224134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4608"/>
        <c:crosses val="autoZero"/>
        <c:crossBetween val="midCat"/>
      </c:valAx>
      <c:valAx>
        <c:axId val="22413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4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879293945841421"/>
                  <c:y val="-0.184202938710797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10C'!$C$27:$C$34</c:f>
              <c:numCache>
                <c:formatCode>General</c:formatCode>
                <c:ptCount val="8"/>
                <c:pt idx="0">
                  <c:v>4.1387499999999999</c:v>
                </c:pt>
                <c:pt idx="1">
                  <c:v>6.180416666666666</c:v>
                </c:pt>
                <c:pt idx="2">
                  <c:v>8.0416666666666661</c:v>
                </c:pt>
                <c:pt idx="3">
                  <c:v>10.041666666666666</c:v>
                </c:pt>
                <c:pt idx="4">
                  <c:v>12.847083333333332</c:v>
                </c:pt>
                <c:pt idx="5">
                  <c:v>15.034583333333332</c:v>
                </c:pt>
                <c:pt idx="6">
                  <c:v>17.041666666666668</c:v>
                </c:pt>
                <c:pt idx="7">
                  <c:v>19.867916666666666</c:v>
                </c:pt>
              </c:numCache>
            </c:numRef>
          </c:xVal>
          <c:yVal>
            <c:numRef>
              <c:f>'F. oxysporum 10C'!$V$27:$V$34</c:f>
              <c:numCache>
                <c:formatCode>General</c:formatCode>
                <c:ptCount val="8"/>
                <c:pt idx="0">
                  <c:v>17.5</c:v>
                </c:pt>
                <c:pt idx="1">
                  <c:v>21.5</c:v>
                </c:pt>
                <c:pt idx="2">
                  <c:v>27</c:v>
                </c:pt>
                <c:pt idx="3">
                  <c:v>35.5</c:v>
                </c:pt>
                <c:pt idx="4">
                  <c:v>48.5</c:v>
                </c:pt>
                <c:pt idx="5">
                  <c:v>59.5</c:v>
                </c:pt>
                <c:pt idx="6">
                  <c:v>75.5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6E-478C-88F5-A5412FB70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64232"/>
        <c:axId val="404964624"/>
      </c:scatterChart>
      <c:valAx>
        <c:axId val="40496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4964624"/>
        <c:crosses val="autoZero"/>
        <c:crossBetween val="midCat"/>
      </c:valAx>
      <c:valAx>
        <c:axId val="40496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4964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0737519893189349E-2"/>
                  <c:y val="-0.1874902508574863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15C'!$C$5:$C$8</c:f>
              <c:numCache>
                <c:formatCode>General</c:formatCode>
                <c:ptCount val="4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</c:numCache>
            </c:numRef>
          </c:xVal>
          <c:yVal>
            <c:numRef>
              <c:f>'F. oxysporum 15C'!$Q$5:$Q$8</c:f>
              <c:numCache>
                <c:formatCode>General</c:formatCode>
                <c:ptCount val="4"/>
                <c:pt idx="0">
                  <c:v>10</c:v>
                </c:pt>
                <c:pt idx="1">
                  <c:v>16</c:v>
                </c:pt>
                <c:pt idx="2">
                  <c:v>20.5</c:v>
                </c:pt>
                <c:pt idx="3">
                  <c:v>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8F-401B-8B87-B90566AB8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79576"/>
        <c:axId val="226679968"/>
      </c:scatterChart>
      <c:valAx>
        <c:axId val="226679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9968"/>
        <c:crosses val="autoZero"/>
        <c:crossBetween val="midCat"/>
      </c:valAx>
      <c:valAx>
        <c:axId val="22667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79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261987595390329"/>
          <c:y val="0.18865436419816917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091799611195871E-2"/>
                  <c:y val="-0.183507518012910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15C'!$C$5:$C$8</c:f>
              <c:numCache>
                <c:formatCode>General</c:formatCode>
                <c:ptCount val="4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</c:numCache>
            </c:numRef>
          </c:xVal>
          <c:yVal>
            <c:numRef>
              <c:f>'F. oxysporum 15C'!$R$5:$R$8</c:f>
              <c:numCache>
                <c:formatCode>General</c:formatCode>
                <c:ptCount val="4"/>
                <c:pt idx="0">
                  <c:v>8.5</c:v>
                </c:pt>
                <c:pt idx="1">
                  <c:v>18</c:v>
                </c:pt>
                <c:pt idx="2">
                  <c:v>23</c:v>
                </c:pt>
                <c:pt idx="3">
                  <c:v>28.5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97-44E0-9D72-C307C9EEC3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48664"/>
        <c:axId val="405349056"/>
      </c:scatterChart>
      <c:valAx>
        <c:axId val="405348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9056"/>
        <c:crosses val="autoZero"/>
        <c:crossBetween val="midCat"/>
      </c:valAx>
      <c:valAx>
        <c:axId val="40534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8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3855613132524854E-2"/>
                  <c:y val="-0.179750877641908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15C'!$C$5:$C$8</c:f>
              <c:numCache>
                <c:formatCode>General</c:formatCode>
                <c:ptCount val="4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</c:numCache>
            </c:numRef>
          </c:xVal>
          <c:yVal>
            <c:numRef>
              <c:f>'F. oxysporum 15C'!$S$5:$S$8</c:f>
              <c:numCache>
                <c:formatCode>General</c:formatCode>
                <c:ptCount val="4"/>
                <c:pt idx="0">
                  <c:v>8</c:v>
                </c:pt>
                <c:pt idx="1">
                  <c:v>14</c:v>
                </c:pt>
                <c:pt idx="2">
                  <c:v>20</c:v>
                </c:pt>
                <c:pt idx="3">
                  <c:v>25.5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53-4DB4-8961-3C2D524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49840"/>
        <c:axId val="405350232"/>
      </c:scatterChart>
      <c:valAx>
        <c:axId val="405349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0232"/>
        <c:crosses val="autoZero"/>
        <c:crossBetween val="midCat"/>
      </c:valAx>
      <c:valAx>
        <c:axId val="405350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49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3209892850531376E-2"/>
                  <c:y val="-0.1663956478075164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15C'!$C$5:$C$8</c:f>
              <c:numCache>
                <c:formatCode>General</c:formatCode>
                <c:ptCount val="4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</c:numCache>
            </c:numRef>
          </c:xVal>
          <c:yVal>
            <c:numRef>
              <c:f>'F. oxysporum 15C'!$T$5:$T$8</c:f>
              <c:numCache>
                <c:formatCode>General</c:formatCode>
                <c:ptCount val="4"/>
                <c:pt idx="0">
                  <c:v>10</c:v>
                </c:pt>
                <c:pt idx="1">
                  <c:v>18</c:v>
                </c:pt>
                <c:pt idx="2">
                  <c:v>25.5</c:v>
                </c:pt>
                <c:pt idx="3">
                  <c:v>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61-4B25-86F1-517736600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51016"/>
        <c:axId val="405351408"/>
      </c:scatterChart>
      <c:valAx>
        <c:axId val="405351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1408"/>
        <c:crosses val="autoZero"/>
        <c:crossBetween val="midCat"/>
      </c:valAx>
      <c:valAx>
        <c:axId val="40535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351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5036545525879933E-2"/>
                  <c:y val="-0.2053172042351151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15C'!$C$5:$C$8</c:f>
              <c:numCache>
                <c:formatCode>General</c:formatCode>
                <c:ptCount val="4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</c:numCache>
            </c:numRef>
          </c:xVal>
          <c:yVal>
            <c:numRef>
              <c:f>'F. oxysporum 15C'!$U$5:$U$8</c:f>
              <c:numCache>
                <c:formatCode>General</c:formatCode>
                <c:ptCount val="4"/>
                <c:pt idx="0">
                  <c:v>9.5</c:v>
                </c:pt>
                <c:pt idx="1">
                  <c:v>16</c:v>
                </c:pt>
                <c:pt idx="2">
                  <c:v>23</c:v>
                </c:pt>
                <c:pt idx="3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09-4B70-937B-94AAC3C27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17752"/>
        <c:axId val="226818144"/>
      </c:scatterChart>
      <c:valAx>
        <c:axId val="22681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8144"/>
        <c:crosses val="autoZero"/>
        <c:crossBetween val="midCat"/>
      </c:valAx>
      <c:valAx>
        <c:axId val="22681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7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9446079329202393E-2"/>
                  <c:y val="-0.161943904529385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15C'!$C$5:$C$8</c:f>
              <c:numCache>
                <c:formatCode>General</c:formatCode>
                <c:ptCount val="4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</c:numCache>
            </c:numRef>
          </c:xVal>
          <c:yVal>
            <c:numRef>
              <c:f>'F. oxysporum 15C'!$V$5:$V$8</c:f>
              <c:numCache>
                <c:formatCode>General</c:formatCode>
                <c:ptCount val="4"/>
                <c:pt idx="0">
                  <c:v>8</c:v>
                </c:pt>
                <c:pt idx="1">
                  <c:v>21</c:v>
                </c:pt>
                <c:pt idx="2">
                  <c:v>21.5</c:v>
                </c:pt>
                <c:pt idx="3">
                  <c:v>26.5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26-4955-9BD9-F5F4F7090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18928"/>
        <c:axId val="226819320"/>
      </c:scatterChart>
      <c:valAx>
        <c:axId val="226818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9320"/>
        <c:crosses val="autoZero"/>
        <c:crossBetween val="midCat"/>
      </c:valAx>
      <c:valAx>
        <c:axId val="22681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18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4522683760037438E-2"/>
                  <c:y val="-0.1663840668418154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15C'!$C$26:$C$33</c:f>
              <c:numCache>
                <c:formatCode>General</c:formatCode>
                <c:ptCount val="8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  <c:pt idx="4">
                  <c:v>7.333333333333333</c:v>
                </c:pt>
                <c:pt idx="5">
                  <c:v>8.2083333333333339</c:v>
                </c:pt>
                <c:pt idx="6">
                  <c:v>10.006666666666666</c:v>
                </c:pt>
                <c:pt idx="7">
                  <c:v>12.96875</c:v>
                </c:pt>
              </c:numCache>
            </c:numRef>
          </c:xVal>
          <c:yVal>
            <c:numRef>
              <c:f>'F. oxysporum 15C'!$Q$26:$Q$33</c:f>
              <c:numCache>
                <c:formatCode>General</c:formatCode>
                <c:ptCount val="8"/>
                <c:pt idx="0">
                  <c:v>14.5</c:v>
                </c:pt>
                <c:pt idx="1">
                  <c:v>31.5</c:v>
                </c:pt>
                <c:pt idx="2">
                  <c:v>40</c:v>
                </c:pt>
                <c:pt idx="3">
                  <c:v>47.5</c:v>
                </c:pt>
                <c:pt idx="4">
                  <c:v>53</c:v>
                </c:pt>
                <c:pt idx="5">
                  <c:v>62</c:v>
                </c:pt>
                <c:pt idx="6">
                  <c:v>75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04-43D9-AFA8-5F999DE80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20104"/>
        <c:axId val="226820496"/>
      </c:scatterChart>
      <c:valAx>
        <c:axId val="226820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0496"/>
        <c:crosses val="autoZero"/>
        <c:crossBetween val="midCat"/>
      </c:valAx>
      <c:valAx>
        <c:axId val="22682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0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404590520701926E-2"/>
                  <c:y val="-0.1886576566780431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15C'!$C$26:$C$33</c:f>
              <c:numCache>
                <c:formatCode>General</c:formatCode>
                <c:ptCount val="8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  <c:pt idx="4">
                  <c:v>7.333333333333333</c:v>
                </c:pt>
                <c:pt idx="5">
                  <c:v>8.2083333333333339</c:v>
                </c:pt>
                <c:pt idx="6">
                  <c:v>10.006666666666666</c:v>
                </c:pt>
                <c:pt idx="7">
                  <c:v>12.96875</c:v>
                </c:pt>
              </c:numCache>
            </c:numRef>
          </c:xVal>
          <c:yVal>
            <c:numRef>
              <c:f>'F. oxysporum 15C'!$R$26:$R$33</c:f>
              <c:numCache>
                <c:formatCode>General</c:formatCode>
                <c:ptCount val="8"/>
                <c:pt idx="0">
                  <c:v>13.5</c:v>
                </c:pt>
                <c:pt idx="1">
                  <c:v>31</c:v>
                </c:pt>
                <c:pt idx="2">
                  <c:v>39</c:v>
                </c:pt>
                <c:pt idx="3">
                  <c:v>47</c:v>
                </c:pt>
                <c:pt idx="4">
                  <c:v>54</c:v>
                </c:pt>
                <c:pt idx="5">
                  <c:v>61</c:v>
                </c:pt>
                <c:pt idx="6">
                  <c:v>71.5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39-459C-8EB1-2FAEBF41C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821280"/>
        <c:axId val="405716520"/>
      </c:scatterChart>
      <c:valAx>
        <c:axId val="226821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6520"/>
        <c:crosses val="autoZero"/>
        <c:crossBetween val="midCat"/>
      </c:valAx>
      <c:valAx>
        <c:axId val="405716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821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7640776999372943E-2"/>
                  <c:y val="-0.170838784809060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15C'!$C$26:$C$33</c:f>
              <c:numCache>
                <c:formatCode>General</c:formatCode>
                <c:ptCount val="8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  <c:pt idx="4">
                  <c:v>7.333333333333333</c:v>
                </c:pt>
                <c:pt idx="5">
                  <c:v>8.2083333333333339</c:v>
                </c:pt>
                <c:pt idx="6">
                  <c:v>10.006666666666666</c:v>
                </c:pt>
                <c:pt idx="7">
                  <c:v>12.96875</c:v>
                </c:pt>
              </c:numCache>
            </c:numRef>
          </c:xVal>
          <c:yVal>
            <c:numRef>
              <c:f>'F. oxysporum 15C'!$S$26:$S$33</c:f>
              <c:numCache>
                <c:formatCode>General</c:formatCode>
                <c:ptCount val="8"/>
                <c:pt idx="0">
                  <c:v>15</c:v>
                </c:pt>
                <c:pt idx="1">
                  <c:v>30.5</c:v>
                </c:pt>
                <c:pt idx="2">
                  <c:v>41.5</c:v>
                </c:pt>
                <c:pt idx="3">
                  <c:v>48</c:v>
                </c:pt>
                <c:pt idx="4">
                  <c:v>53</c:v>
                </c:pt>
                <c:pt idx="5">
                  <c:v>62.5</c:v>
                </c:pt>
                <c:pt idx="6">
                  <c:v>75.5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C2-47B0-BA6E-83BC9AC3F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7304"/>
        <c:axId val="405717696"/>
      </c:scatterChart>
      <c:valAx>
        <c:axId val="405717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7696"/>
        <c:crosses val="autoZero"/>
        <c:crossBetween val="midCat"/>
      </c:valAx>
      <c:valAx>
        <c:axId val="40571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7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Plate</a:t>
            </a:r>
            <a:r>
              <a:rPr lang="en-US" b="1" u="sng" baseline="0"/>
              <a:t> </a:t>
            </a:r>
            <a:r>
              <a:rPr lang="en-US" b="1" u="sng"/>
              <a:t>1</a:t>
            </a:r>
            <a:r>
              <a:rPr lang="en-US" b="0" u="none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640113851492068"/>
          <c:y val="0.18420269810048723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9955415250549361E-2"/>
                  <c:y val="-0.172826135640894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5C'!$C$26:$C$35</c:f>
              <c:numCache>
                <c:formatCode>General</c:formatCode>
                <c:ptCount val="10"/>
                <c:pt idx="0">
                  <c:v>10.233333333333333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17.197916666666668</c:v>
                </c:pt>
                <c:pt idx="4">
                  <c:v>20.083333333333332</c:v>
                </c:pt>
                <c:pt idx="5">
                  <c:v>22.229166666666668</c:v>
                </c:pt>
                <c:pt idx="6">
                  <c:v>24.229166666666668</c:v>
                </c:pt>
                <c:pt idx="7">
                  <c:v>26.291666666666668</c:v>
                </c:pt>
                <c:pt idx="8">
                  <c:v>29.020833333333332</c:v>
                </c:pt>
                <c:pt idx="9">
                  <c:v>30.875</c:v>
                </c:pt>
              </c:numCache>
            </c:numRef>
          </c:xVal>
          <c:yVal>
            <c:numRef>
              <c:f>'F. sambucinum 5C'!$Q$26:$Q$35</c:f>
              <c:numCache>
                <c:formatCode>General</c:formatCode>
                <c:ptCount val="10"/>
                <c:pt idx="0">
                  <c:v>9.5</c:v>
                </c:pt>
                <c:pt idx="1">
                  <c:v>12.5</c:v>
                </c:pt>
                <c:pt idx="2">
                  <c:v>17.5</c:v>
                </c:pt>
                <c:pt idx="3">
                  <c:v>22.5</c:v>
                </c:pt>
                <c:pt idx="4">
                  <c:v>26</c:v>
                </c:pt>
                <c:pt idx="5">
                  <c:v>35</c:v>
                </c:pt>
                <c:pt idx="6">
                  <c:v>40.5</c:v>
                </c:pt>
                <c:pt idx="7">
                  <c:v>46.5</c:v>
                </c:pt>
                <c:pt idx="8">
                  <c:v>51.5</c:v>
                </c:pt>
                <c:pt idx="9">
                  <c:v>53.5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79992"/>
        <c:axId val="133380384"/>
      </c:scatterChart>
      <c:valAx>
        <c:axId val="133379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0384"/>
        <c:crosses val="autoZero"/>
        <c:crossBetween val="midCat"/>
      </c:valAx>
      <c:valAx>
        <c:axId val="13338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79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4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6973706371860366E-2"/>
                  <c:y val="-0.198637627985450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15C'!$C$26:$C$33</c:f>
              <c:numCache>
                <c:formatCode>General</c:formatCode>
                <c:ptCount val="8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  <c:pt idx="4">
                  <c:v>7.333333333333333</c:v>
                </c:pt>
                <c:pt idx="5">
                  <c:v>8.2083333333333339</c:v>
                </c:pt>
                <c:pt idx="6">
                  <c:v>10.006666666666666</c:v>
                </c:pt>
                <c:pt idx="7">
                  <c:v>12.96875</c:v>
                </c:pt>
              </c:numCache>
            </c:numRef>
          </c:xVal>
          <c:yVal>
            <c:numRef>
              <c:f>'F. oxysporum 15C'!$T$26:$T$33</c:f>
              <c:numCache>
                <c:formatCode>General</c:formatCode>
                <c:ptCount val="8"/>
                <c:pt idx="0">
                  <c:v>16</c:v>
                </c:pt>
                <c:pt idx="1">
                  <c:v>33</c:v>
                </c:pt>
                <c:pt idx="2">
                  <c:v>41.5</c:v>
                </c:pt>
                <c:pt idx="3">
                  <c:v>51</c:v>
                </c:pt>
                <c:pt idx="4">
                  <c:v>56.5</c:v>
                </c:pt>
                <c:pt idx="5">
                  <c:v>67</c:v>
                </c:pt>
                <c:pt idx="6">
                  <c:v>80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C3-44FB-BBD6-E4E5127E0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8480"/>
        <c:axId val="405718872"/>
      </c:scatterChart>
      <c:valAx>
        <c:axId val="405718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8872"/>
        <c:crosses val="autoZero"/>
        <c:crossBetween val="midCat"/>
      </c:valAx>
      <c:valAx>
        <c:axId val="40571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8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5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8800359047208909E-2"/>
                  <c:y val="-0.1663840668418154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15C'!$C$26:$C$33</c:f>
              <c:numCache>
                <c:formatCode>General</c:formatCode>
                <c:ptCount val="8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  <c:pt idx="4">
                  <c:v>7.333333333333333</c:v>
                </c:pt>
                <c:pt idx="5">
                  <c:v>8.2083333333333339</c:v>
                </c:pt>
                <c:pt idx="6">
                  <c:v>10.006666666666666</c:v>
                </c:pt>
                <c:pt idx="7">
                  <c:v>12.96875</c:v>
                </c:pt>
              </c:numCache>
            </c:numRef>
          </c:xVal>
          <c:yVal>
            <c:numRef>
              <c:f>'F. oxysporum 15C'!$U$26:$U$33</c:f>
              <c:numCache>
                <c:formatCode>General</c:formatCode>
                <c:ptCount val="8"/>
                <c:pt idx="0">
                  <c:v>17.5</c:v>
                </c:pt>
                <c:pt idx="1">
                  <c:v>31.5</c:v>
                </c:pt>
                <c:pt idx="2">
                  <c:v>39.5</c:v>
                </c:pt>
                <c:pt idx="3">
                  <c:v>47.5</c:v>
                </c:pt>
                <c:pt idx="4">
                  <c:v>55</c:v>
                </c:pt>
                <c:pt idx="5">
                  <c:v>64</c:v>
                </c:pt>
                <c:pt idx="6">
                  <c:v>75.5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D9-48F1-88A0-4568E98F1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719656"/>
        <c:axId val="405720048"/>
      </c:scatterChart>
      <c:valAx>
        <c:axId val="405719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20048"/>
        <c:crosses val="autoZero"/>
        <c:crossBetween val="midCat"/>
      </c:valAx>
      <c:valAx>
        <c:axId val="40572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719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6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0384699049988187E-2"/>
                  <c:y val="-0.193112374645288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oxysporum 15C'!$C$26:$C$33</c:f>
              <c:numCache>
                <c:formatCode>General</c:formatCode>
                <c:ptCount val="8"/>
                <c:pt idx="0">
                  <c:v>2.2395833333333335</c:v>
                </c:pt>
                <c:pt idx="1">
                  <c:v>4.270833333333333</c:v>
                </c:pt>
                <c:pt idx="2">
                  <c:v>5.2983333333333329</c:v>
                </c:pt>
                <c:pt idx="3">
                  <c:v>6.3125</c:v>
                </c:pt>
                <c:pt idx="4">
                  <c:v>7.333333333333333</c:v>
                </c:pt>
                <c:pt idx="5">
                  <c:v>8.2083333333333339</c:v>
                </c:pt>
                <c:pt idx="6">
                  <c:v>10.006666666666666</c:v>
                </c:pt>
                <c:pt idx="7">
                  <c:v>12.96875</c:v>
                </c:pt>
              </c:numCache>
            </c:numRef>
          </c:xVal>
          <c:yVal>
            <c:numRef>
              <c:f>'F. oxysporum 15C'!$V$26:$V$33</c:f>
              <c:numCache>
                <c:formatCode>General</c:formatCode>
                <c:ptCount val="8"/>
                <c:pt idx="0">
                  <c:v>16</c:v>
                </c:pt>
                <c:pt idx="1">
                  <c:v>34</c:v>
                </c:pt>
                <c:pt idx="2">
                  <c:v>41.5</c:v>
                </c:pt>
                <c:pt idx="3">
                  <c:v>50.5</c:v>
                </c:pt>
                <c:pt idx="4">
                  <c:v>56</c:v>
                </c:pt>
                <c:pt idx="5">
                  <c:v>65</c:v>
                </c:pt>
                <c:pt idx="6">
                  <c:v>76.5</c:v>
                </c:pt>
                <c:pt idx="7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69-4574-8B21-B0DF343AE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64232"/>
        <c:axId val="404964624"/>
      </c:scatterChart>
      <c:valAx>
        <c:axId val="40496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4964624"/>
        <c:crosses val="autoZero"/>
        <c:crossBetween val="midCat"/>
      </c:valAx>
      <c:valAx>
        <c:axId val="40496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4964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3.9980009995002501E-2"/>
          <c:w val="0.77545427013930945"/>
          <c:h val="0.7456445005843535"/>
        </c:manualLayout>
      </c:layout>
      <c:barChart>
        <c:barDir val="col"/>
        <c:grouping val="clustered"/>
        <c:varyColors val="0"/>
        <c:ser>
          <c:idx val="0"/>
          <c:order val="0"/>
          <c:tx>
            <c:v>Growth rate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5ED-4506-A876-BF01E90A5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368672"/>
        <c:axId val="409369064"/>
      </c:barChart>
      <c:catAx>
        <c:axId val="40936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9064"/>
        <c:crosses val="autoZero"/>
        <c:auto val="1"/>
        <c:lblAlgn val="ctr"/>
        <c:lblOffset val="100"/>
        <c:noMultiLvlLbl val="0"/>
      </c:catAx>
      <c:valAx>
        <c:axId val="40936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Growth rate (µm)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Growth rate (um)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Graphs!$G$3:$G$14</c:f>
                <c:numCache>
                  <c:formatCode>General</c:formatCode>
                  <c:ptCount val="12"/>
                  <c:pt idx="0">
                    <c:v>3.3763322111427387E-2</c:v>
                  </c:pt>
                  <c:pt idx="1">
                    <c:v>2.0881916685123625E-2</c:v>
                  </c:pt>
                  <c:pt idx="2">
                    <c:v>3.5475753973664891E-2</c:v>
                  </c:pt>
                  <c:pt idx="3">
                    <c:v>3.9172935668505784E-2</c:v>
                  </c:pt>
                  <c:pt idx="4">
                    <c:v>4.8113349960737961E-2</c:v>
                  </c:pt>
                  <c:pt idx="5">
                    <c:v>4.1040910596532774E-2</c:v>
                  </c:pt>
                  <c:pt idx="6">
                    <c:v>3.8007219099846064E-2</c:v>
                  </c:pt>
                  <c:pt idx="7">
                    <c:v>1.7281568001561439E-2</c:v>
                  </c:pt>
                  <c:pt idx="8">
                    <c:v>6.2099640662167832E-2</c:v>
                  </c:pt>
                  <c:pt idx="9">
                    <c:v>3.9341303924049713E-2</c:v>
                  </c:pt>
                  <c:pt idx="10">
                    <c:v>0.17995484413020379</c:v>
                  </c:pt>
                  <c:pt idx="11">
                    <c:v>2.7184816704536693E-2</c:v>
                  </c:pt>
                </c:numCache>
              </c:numRef>
            </c:plus>
            <c:minus>
              <c:numRef>
                <c:f>Graphs!$G$3:$G$14</c:f>
                <c:numCache>
                  <c:formatCode>General</c:formatCode>
                  <c:ptCount val="12"/>
                  <c:pt idx="0">
                    <c:v>3.3763322111427387E-2</c:v>
                  </c:pt>
                  <c:pt idx="1">
                    <c:v>2.0881916685123625E-2</c:v>
                  </c:pt>
                  <c:pt idx="2">
                    <c:v>3.5475753973664891E-2</c:v>
                  </c:pt>
                  <c:pt idx="3">
                    <c:v>3.9172935668505784E-2</c:v>
                  </c:pt>
                  <c:pt idx="4">
                    <c:v>4.8113349960737961E-2</c:v>
                  </c:pt>
                  <c:pt idx="5">
                    <c:v>4.1040910596532774E-2</c:v>
                  </c:pt>
                  <c:pt idx="6">
                    <c:v>3.8007219099846064E-2</c:v>
                  </c:pt>
                  <c:pt idx="7">
                    <c:v>1.7281568001561439E-2</c:v>
                  </c:pt>
                  <c:pt idx="8">
                    <c:v>6.2099640662167832E-2</c:v>
                  </c:pt>
                  <c:pt idx="9">
                    <c:v>3.9341303924049713E-2</c:v>
                  </c:pt>
                  <c:pt idx="10">
                    <c:v>0.17995484413020379</c:v>
                  </c:pt>
                  <c:pt idx="11">
                    <c:v>2.7184816704536693E-2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Graphs!$C$3:$E$14</c:f>
              <c:multiLvlStrCache>
                <c:ptCount val="12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  <c:pt idx="6">
                    <c:v>0.97</c:v>
                  </c:pt>
                  <c:pt idx="7">
                    <c:v>0.99</c:v>
                  </c:pt>
                  <c:pt idx="8">
                    <c:v>0.97</c:v>
                  </c:pt>
                  <c:pt idx="9">
                    <c:v>0.99</c:v>
                  </c:pt>
                  <c:pt idx="10">
                    <c:v>0.97</c:v>
                  </c:pt>
                  <c:pt idx="11">
                    <c:v>0.99</c:v>
                  </c:pt>
                </c:lvl>
                <c:lvl>
                  <c:pt idx="0">
                    <c:v>5C</c:v>
                  </c:pt>
                  <c:pt idx="2">
                    <c:v>10C</c:v>
                  </c:pt>
                  <c:pt idx="4">
                    <c:v>15C</c:v>
                  </c:pt>
                  <c:pt idx="6">
                    <c:v>5C</c:v>
                  </c:pt>
                  <c:pt idx="8">
                    <c:v>10C</c:v>
                  </c:pt>
                  <c:pt idx="10">
                    <c:v>15C</c:v>
                  </c:pt>
                </c:lvl>
                <c:lvl>
                  <c:pt idx="0">
                    <c:v>Fusarium sambucinum</c:v>
                  </c:pt>
                  <c:pt idx="6">
                    <c:v>Fusarium oxysporum</c:v>
                  </c:pt>
                </c:lvl>
              </c:multiLvlStrCache>
            </c:multiLvlStrRef>
          </c:cat>
          <c:val>
            <c:numRef>
              <c:f>Graphs!$F$3:$F$14</c:f>
              <c:numCache>
                <c:formatCode>General</c:formatCode>
                <c:ptCount val="12"/>
                <c:pt idx="0">
                  <c:v>1.57952</c:v>
                </c:pt>
                <c:pt idx="1">
                  <c:v>2.3852000000000002</c:v>
                </c:pt>
                <c:pt idx="2">
                  <c:v>3.02332</c:v>
                </c:pt>
                <c:pt idx="3">
                  <c:v>5.0796999999999999</c:v>
                </c:pt>
                <c:pt idx="4">
                  <c:v>5.7279000000000009</c:v>
                </c:pt>
                <c:pt idx="5">
                  <c:v>9.2111833333333326</c:v>
                </c:pt>
                <c:pt idx="6">
                  <c:v>1.5829333333333333</c:v>
                </c:pt>
                <c:pt idx="7">
                  <c:v>2.5223666666666666</c:v>
                </c:pt>
                <c:pt idx="8">
                  <c:v>2.9161666666666668</c:v>
                </c:pt>
                <c:pt idx="9">
                  <c:v>4.84985</c:v>
                </c:pt>
                <c:pt idx="10">
                  <c:v>4.5671333333333335</c:v>
                </c:pt>
                <c:pt idx="11">
                  <c:v>7.0717666666666661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2E-4D19-B769-DBFC0E34C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375560"/>
        <c:axId val="640374248"/>
      </c:barChart>
      <c:catAx>
        <c:axId val="64037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4248"/>
        <c:crosses val="autoZero"/>
        <c:auto val="1"/>
        <c:lblAlgn val="ctr"/>
        <c:lblOffset val="100"/>
        <c:noMultiLvlLbl val="0"/>
      </c:catAx>
      <c:valAx>
        <c:axId val="640374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 of diameter/day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5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Lag time (days)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Graphs!$I$3:$I$14</c:f>
                <c:numCache>
                  <c:formatCode>General</c:formatCode>
                  <c:ptCount val="12"/>
                  <c:pt idx="0">
                    <c:v>1.9161028247141676</c:v>
                  </c:pt>
                  <c:pt idx="1">
                    <c:v>0.297647832523107</c:v>
                  </c:pt>
                  <c:pt idx="2">
                    <c:v>0.34357587230220227</c:v>
                  </c:pt>
                  <c:pt idx="3">
                    <c:v>8.8086030560699649E-2</c:v>
                  </c:pt>
                  <c:pt idx="4">
                    <c:v>0.2513647546548719</c:v>
                  </c:pt>
                  <c:pt idx="5">
                    <c:v>3.3886556272669545E-2</c:v>
                  </c:pt>
                  <c:pt idx="6">
                    <c:v>1.0290025442942372</c:v>
                  </c:pt>
                  <c:pt idx="7">
                    <c:v>0.18107302452384369</c:v>
                  </c:pt>
                  <c:pt idx="8">
                    <c:v>0.76146141518253796</c:v>
                  </c:pt>
                  <c:pt idx="9">
                    <c:v>9.9961103573396326E-2</c:v>
                  </c:pt>
                  <c:pt idx="10">
                    <c:v>7.0005657842057048E-2</c:v>
                  </c:pt>
                  <c:pt idx="11">
                    <c:v>7.2406839563488146E-2</c:v>
                  </c:pt>
                </c:numCache>
              </c:numRef>
            </c:plus>
            <c:minus>
              <c:numRef>
                <c:f>Graphs!$I$3:$I$14</c:f>
                <c:numCache>
                  <c:formatCode>General</c:formatCode>
                  <c:ptCount val="12"/>
                  <c:pt idx="0">
                    <c:v>1.9161028247141676</c:v>
                  </c:pt>
                  <c:pt idx="1">
                    <c:v>0.297647832523107</c:v>
                  </c:pt>
                  <c:pt idx="2">
                    <c:v>0.34357587230220227</c:v>
                  </c:pt>
                  <c:pt idx="3">
                    <c:v>8.8086030560699649E-2</c:v>
                  </c:pt>
                  <c:pt idx="4">
                    <c:v>0.2513647546548719</c:v>
                  </c:pt>
                  <c:pt idx="5">
                    <c:v>3.3886556272669545E-2</c:v>
                  </c:pt>
                  <c:pt idx="6">
                    <c:v>1.0290025442942372</c:v>
                  </c:pt>
                  <c:pt idx="7">
                    <c:v>0.18107302452384369</c:v>
                  </c:pt>
                  <c:pt idx="8">
                    <c:v>0.76146141518253796</c:v>
                  </c:pt>
                  <c:pt idx="9">
                    <c:v>9.9961103573396326E-2</c:v>
                  </c:pt>
                  <c:pt idx="10">
                    <c:v>7.0005657842057048E-2</c:v>
                  </c:pt>
                  <c:pt idx="11">
                    <c:v>7.2406839563488146E-2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Graphs!$C$3:$E$14</c:f>
              <c:multiLvlStrCache>
                <c:ptCount val="12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  <c:pt idx="6">
                    <c:v>0.97</c:v>
                  </c:pt>
                  <c:pt idx="7">
                    <c:v>0.99</c:v>
                  </c:pt>
                  <c:pt idx="8">
                    <c:v>0.97</c:v>
                  </c:pt>
                  <c:pt idx="9">
                    <c:v>0.99</c:v>
                  </c:pt>
                  <c:pt idx="10">
                    <c:v>0.97</c:v>
                  </c:pt>
                  <c:pt idx="11">
                    <c:v>0.99</c:v>
                  </c:pt>
                </c:lvl>
                <c:lvl>
                  <c:pt idx="0">
                    <c:v>5C</c:v>
                  </c:pt>
                  <c:pt idx="2">
                    <c:v>10C</c:v>
                  </c:pt>
                  <c:pt idx="4">
                    <c:v>15C</c:v>
                  </c:pt>
                  <c:pt idx="6">
                    <c:v>5C</c:v>
                  </c:pt>
                  <c:pt idx="8">
                    <c:v>10C</c:v>
                  </c:pt>
                  <c:pt idx="10">
                    <c:v>15C</c:v>
                  </c:pt>
                </c:lvl>
                <c:lvl>
                  <c:pt idx="0">
                    <c:v>Fusarium sambucinum</c:v>
                  </c:pt>
                  <c:pt idx="6">
                    <c:v>Fusarium oxysporum</c:v>
                  </c:pt>
                </c:lvl>
              </c:multiLvlStrCache>
            </c:multiLvlStrRef>
          </c:cat>
          <c:val>
            <c:numRef>
              <c:f>Graphs!$H$3:$H$14</c:f>
              <c:numCache>
                <c:formatCode>General</c:formatCode>
                <c:ptCount val="12"/>
                <c:pt idx="0">
                  <c:v>13.14549112735801</c:v>
                </c:pt>
                <c:pt idx="1">
                  <c:v>10.636656226731676</c:v>
                </c:pt>
                <c:pt idx="2">
                  <c:v>7.5273728566541038</c:v>
                </c:pt>
                <c:pt idx="3">
                  <c:v>4.259213383576899</c:v>
                </c:pt>
                <c:pt idx="4">
                  <c:v>3.5840746269165895</c:v>
                </c:pt>
                <c:pt idx="5">
                  <c:v>1.7564326136194472</c:v>
                </c:pt>
                <c:pt idx="6">
                  <c:v>13.356731457314448</c:v>
                </c:pt>
                <c:pt idx="7">
                  <c:v>6.2421781733761117</c:v>
                </c:pt>
                <c:pt idx="8">
                  <c:v>4.5076135384325529</c:v>
                </c:pt>
                <c:pt idx="9">
                  <c:v>3.5501994137387363</c:v>
                </c:pt>
                <c:pt idx="10">
                  <c:v>2.3313110143146352</c:v>
                </c:pt>
                <c:pt idx="11">
                  <c:v>1.065029676379017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F4-4BC2-890A-090F4FB62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375560"/>
        <c:axId val="640374248"/>
      </c:barChart>
      <c:catAx>
        <c:axId val="64037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4248"/>
        <c:crosses val="autoZero"/>
        <c:auto val="1"/>
        <c:lblAlgn val="ctr"/>
        <c:lblOffset val="100"/>
        <c:noMultiLvlLbl val="0"/>
      </c:catAx>
      <c:valAx>
        <c:axId val="640374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5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Growth rate (</a:t>
            </a:r>
            <a:r>
              <a:rPr lang="en-GB" sz="1400" b="0" i="0" u="none" strike="noStrike" baseline="0">
                <a:effectLst/>
              </a:rPr>
              <a:t>µ</a:t>
            </a:r>
            <a:r>
              <a:rPr lang="en-US"/>
              <a:t>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Fusarium sambucinum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Graphs!$G$3:$G$8</c:f>
                <c:numCache>
                  <c:formatCode>General</c:formatCode>
                  <c:ptCount val="6"/>
                  <c:pt idx="0">
                    <c:v>3.3763322111427387E-2</c:v>
                  </c:pt>
                  <c:pt idx="1">
                    <c:v>2.0881916685123625E-2</c:v>
                  </c:pt>
                  <c:pt idx="2">
                    <c:v>3.5475753973664891E-2</c:v>
                  </c:pt>
                  <c:pt idx="3">
                    <c:v>3.9172935668505784E-2</c:v>
                  </c:pt>
                  <c:pt idx="4">
                    <c:v>4.8113349960737961E-2</c:v>
                  </c:pt>
                  <c:pt idx="5">
                    <c:v>4.1040910596532774E-2</c:v>
                  </c:pt>
                </c:numCache>
              </c:numRef>
            </c:plus>
            <c:minus>
              <c:numRef>
                <c:f>Graphs!$G$3:$G$8</c:f>
                <c:numCache>
                  <c:formatCode>General</c:formatCode>
                  <c:ptCount val="6"/>
                  <c:pt idx="0">
                    <c:v>3.3763322111427387E-2</c:v>
                  </c:pt>
                  <c:pt idx="1">
                    <c:v>2.0881916685123625E-2</c:v>
                  </c:pt>
                  <c:pt idx="2">
                    <c:v>3.5475753973664891E-2</c:v>
                  </c:pt>
                  <c:pt idx="3">
                    <c:v>3.9172935668505784E-2</c:v>
                  </c:pt>
                  <c:pt idx="4">
                    <c:v>4.8113349960737961E-2</c:v>
                  </c:pt>
                  <c:pt idx="5">
                    <c:v>4.1040910596532774E-2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Graphs!$D$3:$E$8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5C</c:v>
                  </c:pt>
                  <c:pt idx="2">
                    <c:v>10C</c:v>
                  </c:pt>
                  <c:pt idx="4">
                    <c:v>15C</c:v>
                  </c:pt>
                </c:lvl>
              </c:multiLvlStrCache>
            </c:multiLvlStrRef>
          </c:cat>
          <c:val>
            <c:numRef>
              <c:f>Graphs!$F$3:$F$8</c:f>
              <c:numCache>
                <c:formatCode>General</c:formatCode>
                <c:ptCount val="6"/>
                <c:pt idx="0">
                  <c:v>1.57952</c:v>
                </c:pt>
                <c:pt idx="1">
                  <c:v>2.3852000000000002</c:v>
                </c:pt>
                <c:pt idx="2">
                  <c:v>3.02332</c:v>
                </c:pt>
                <c:pt idx="3">
                  <c:v>5.0796999999999999</c:v>
                </c:pt>
                <c:pt idx="4">
                  <c:v>5.7279000000000009</c:v>
                </c:pt>
                <c:pt idx="5">
                  <c:v>9.2111833333333326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E1-4538-889B-DD9686AA8F8C}"/>
            </c:ext>
          </c:extLst>
        </c:ser>
        <c:ser>
          <c:idx val="1"/>
          <c:order val="1"/>
          <c:tx>
            <c:v>Fusarium oxysporum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Graphs!$G$9:$G$14</c:f>
                <c:numCache>
                  <c:formatCode>General</c:formatCode>
                  <c:ptCount val="6"/>
                  <c:pt idx="0">
                    <c:v>3.8007219099846064E-2</c:v>
                  </c:pt>
                  <c:pt idx="1">
                    <c:v>1.7281568001561439E-2</c:v>
                  </c:pt>
                  <c:pt idx="2">
                    <c:v>6.2099640662167832E-2</c:v>
                  </c:pt>
                  <c:pt idx="3">
                    <c:v>3.9341303924049713E-2</c:v>
                  </c:pt>
                  <c:pt idx="4">
                    <c:v>0.17995484413020379</c:v>
                  </c:pt>
                  <c:pt idx="5">
                    <c:v>2.7184816704536693E-2</c:v>
                  </c:pt>
                </c:numCache>
              </c:numRef>
            </c:plus>
            <c:minus>
              <c:numRef>
                <c:f>Graphs!$G$9:$G$14</c:f>
                <c:numCache>
                  <c:formatCode>General</c:formatCode>
                  <c:ptCount val="6"/>
                  <c:pt idx="0">
                    <c:v>3.8007219099846064E-2</c:v>
                  </c:pt>
                  <c:pt idx="1">
                    <c:v>1.7281568001561439E-2</c:v>
                  </c:pt>
                  <c:pt idx="2">
                    <c:v>6.2099640662167832E-2</c:v>
                  </c:pt>
                  <c:pt idx="3">
                    <c:v>3.9341303924049713E-2</c:v>
                  </c:pt>
                  <c:pt idx="4">
                    <c:v>0.17995484413020379</c:v>
                  </c:pt>
                  <c:pt idx="5">
                    <c:v>2.7184816704536693E-2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Graphs!$F$9:$F$14</c:f>
              <c:numCache>
                <c:formatCode>General</c:formatCode>
                <c:ptCount val="6"/>
                <c:pt idx="0">
                  <c:v>1.5829333333333333</c:v>
                </c:pt>
                <c:pt idx="1">
                  <c:v>2.5223666666666666</c:v>
                </c:pt>
                <c:pt idx="2">
                  <c:v>2.9161666666666668</c:v>
                </c:pt>
                <c:pt idx="3">
                  <c:v>4.84985</c:v>
                </c:pt>
                <c:pt idx="4">
                  <c:v>4.5671333333333335</c:v>
                </c:pt>
                <c:pt idx="5">
                  <c:v>7.0717666666666661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E1-4538-889B-DD9686AA8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375560"/>
        <c:axId val="640374248"/>
      </c:barChart>
      <c:catAx>
        <c:axId val="64037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4248"/>
        <c:crosses val="autoZero"/>
        <c:auto val="1"/>
        <c:lblAlgn val="ctr"/>
        <c:lblOffset val="100"/>
        <c:noMultiLvlLbl val="0"/>
      </c:catAx>
      <c:valAx>
        <c:axId val="640374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 of diameter/day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5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Lag time (days)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Fusarium sambucinum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Graphs!$I$3:$I$8</c:f>
                <c:numCache>
                  <c:formatCode>General</c:formatCode>
                  <c:ptCount val="6"/>
                  <c:pt idx="0">
                    <c:v>1.9161028247141676</c:v>
                  </c:pt>
                  <c:pt idx="1">
                    <c:v>0.297647832523107</c:v>
                  </c:pt>
                  <c:pt idx="2">
                    <c:v>0.34357587230220227</c:v>
                  </c:pt>
                  <c:pt idx="3">
                    <c:v>8.8086030560699649E-2</c:v>
                  </c:pt>
                  <c:pt idx="4">
                    <c:v>0.2513647546548719</c:v>
                  </c:pt>
                  <c:pt idx="5">
                    <c:v>3.3886556272669545E-2</c:v>
                  </c:pt>
                </c:numCache>
              </c:numRef>
            </c:plus>
            <c:minus>
              <c:numRef>
                <c:f>Graphs!$I$3:$I$8</c:f>
                <c:numCache>
                  <c:formatCode>General</c:formatCode>
                  <c:ptCount val="6"/>
                  <c:pt idx="0">
                    <c:v>1.9161028247141676</c:v>
                  </c:pt>
                  <c:pt idx="1">
                    <c:v>0.297647832523107</c:v>
                  </c:pt>
                  <c:pt idx="2">
                    <c:v>0.34357587230220227</c:v>
                  </c:pt>
                  <c:pt idx="3">
                    <c:v>8.8086030560699649E-2</c:v>
                  </c:pt>
                  <c:pt idx="4">
                    <c:v>0.2513647546548719</c:v>
                  </c:pt>
                  <c:pt idx="5">
                    <c:v>3.3886556272669545E-2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Graphs!$D$3:$E$8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5C</c:v>
                  </c:pt>
                  <c:pt idx="2">
                    <c:v>10C</c:v>
                  </c:pt>
                  <c:pt idx="4">
                    <c:v>15C</c:v>
                  </c:pt>
                </c:lvl>
              </c:multiLvlStrCache>
            </c:multiLvlStrRef>
          </c:cat>
          <c:val>
            <c:numRef>
              <c:f>Graphs!$H$3:$H$8</c:f>
              <c:numCache>
                <c:formatCode>General</c:formatCode>
                <c:ptCount val="6"/>
                <c:pt idx="0">
                  <c:v>13.14549112735801</c:v>
                </c:pt>
                <c:pt idx="1">
                  <c:v>10.636656226731676</c:v>
                </c:pt>
                <c:pt idx="2">
                  <c:v>7.5273728566541038</c:v>
                </c:pt>
                <c:pt idx="3">
                  <c:v>4.259213383576899</c:v>
                </c:pt>
                <c:pt idx="4">
                  <c:v>3.5840746269165895</c:v>
                </c:pt>
                <c:pt idx="5">
                  <c:v>1.7564326136194472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A9-4C04-AD03-99B2EA22C97E}"/>
            </c:ext>
          </c:extLst>
        </c:ser>
        <c:ser>
          <c:idx val="1"/>
          <c:order val="1"/>
          <c:tx>
            <c:v>Fusarium oxysporum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Graphs!$I$9:$I$14</c:f>
                <c:numCache>
                  <c:formatCode>General</c:formatCode>
                  <c:ptCount val="6"/>
                  <c:pt idx="0">
                    <c:v>1.0290025442942372</c:v>
                  </c:pt>
                  <c:pt idx="1">
                    <c:v>0.18107302452384369</c:v>
                  </c:pt>
                  <c:pt idx="2">
                    <c:v>0.76146141518253796</c:v>
                  </c:pt>
                  <c:pt idx="3">
                    <c:v>9.9961103573396326E-2</c:v>
                  </c:pt>
                  <c:pt idx="4">
                    <c:v>7.0005657842057048E-2</c:v>
                  </c:pt>
                  <c:pt idx="5">
                    <c:v>7.2406839563488146E-2</c:v>
                  </c:pt>
                </c:numCache>
              </c:numRef>
            </c:plus>
            <c:minus>
              <c:numRef>
                <c:f>Graphs!$I$9:$I$14</c:f>
                <c:numCache>
                  <c:formatCode>General</c:formatCode>
                  <c:ptCount val="6"/>
                  <c:pt idx="0">
                    <c:v>1.0290025442942372</c:v>
                  </c:pt>
                  <c:pt idx="1">
                    <c:v>0.18107302452384369</c:v>
                  </c:pt>
                  <c:pt idx="2">
                    <c:v>0.76146141518253796</c:v>
                  </c:pt>
                  <c:pt idx="3">
                    <c:v>9.9961103573396326E-2</c:v>
                  </c:pt>
                  <c:pt idx="4">
                    <c:v>7.0005657842057048E-2</c:v>
                  </c:pt>
                  <c:pt idx="5">
                    <c:v>7.2406839563488146E-2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Graphs!$H$9:$H$14</c:f>
              <c:numCache>
                <c:formatCode>General</c:formatCode>
                <c:ptCount val="6"/>
                <c:pt idx="0">
                  <c:v>13.356731457314448</c:v>
                </c:pt>
                <c:pt idx="1">
                  <c:v>6.2421781733761117</c:v>
                </c:pt>
                <c:pt idx="2">
                  <c:v>4.5076135384325529</c:v>
                </c:pt>
                <c:pt idx="3">
                  <c:v>3.5501994137387363</c:v>
                </c:pt>
                <c:pt idx="4">
                  <c:v>2.3313110143146352</c:v>
                </c:pt>
                <c:pt idx="5">
                  <c:v>1.065029676379017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A9-4C04-AD03-99B2EA22C9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375560"/>
        <c:axId val="640374248"/>
      </c:barChart>
      <c:catAx>
        <c:axId val="64037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4248"/>
        <c:crosses val="autoZero"/>
        <c:auto val="1"/>
        <c:lblAlgn val="ctr"/>
        <c:lblOffset val="100"/>
        <c:noMultiLvlLbl val="0"/>
      </c:catAx>
      <c:valAx>
        <c:axId val="640374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5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3.9980009995002501E-2"/>
          <c:w val="0.77545427013930945"/>
          <c:h val="0.7456445005843535"/>
        </c:manualLayout>
      </c:layout>
      <c:barChart>
        <c:barDir val="col"/>
        <c:grouping val="clustered"/>
        <c:varyColors val="0"/>
        <c:ser>
          <c:idx val="0"/>
          <c:order val="0"/>
          <c:tx>
            <c:v>Growth rate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6011-424A-8908-B47AE7547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368672"/>
        <c:axId val="409369064"/>
      </c:barChart>
      <c:catAx>
        <c:axId val="40936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9064"/>
        <c:crosses val="autoZero"/>
        <c:auto val="1"/>
        <c:lblAlgn val="ctr"/>
        <c:lblOffset val="100"/>
        <c:noMultiLvlLbl val="0"/>
      </c:catAx>
      <c:valAx>
        <c:axId val="40936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Growth rate (µm)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'Fs. sambucinum'!$E$11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sambucinum'!$F$12:$F$14</c:f>
                <c:numCache>
                  <c:formatCode>General</c:formatCode>
                  <c:ptCount val="3"/>
                  <c:pt idx="0">
                    <c:v>3.3763322111427387E-2</c:v>
                  </c:pt>
                  <c:pt idx="1">
                    <c:v>3.5475753973664891E-2</c:v>
                  </c:pt>
                  <c:pt idx="2">
                    <c:v>4.8113349960737961E-2</c:v>
                  </c:pt>
                </c:numCache>
              </c:numRef>
            </c:plus>
            <c:minus>
              <c:numRef>
                <c:f>'Fs. sambucinum'!$F$12:$F$14</c:f>
                <c:numCache>
                  <c:formatCode>General</c:formatCode>
                  <c:ptCount val="3"/>
                  <c:pt idx="0">
                    <c:v>3.3763322111427387E-2</c:v>
                  </c:pt>
                  <c:pt idx="1">
                    <c:v>3.5475753973664891E-2</c:v>
                  </c:pt>
                  <c:pt idx="2">
                    <c:v>4.8113349960737961E-2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sambucinum'!$D$12:$D$14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sambucinum'!$E$12:$E$14</c:f>
              <c:numCache>
                <c:formatCode>General</c:formatCode>
                <c:ptCount val="3"/>
                <c:pt idx="0">
                  <c:v>1.57952</c:v>
                </c:pt>
                <c:pt idx="1">
                  <c:v>3.02332</c:v>
                </c:pt>
                <c:pt idx="2">
                  <c:v>5.7279000000000009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F3-4861-BBDB-7A3936EEE2A9}"/>
            </c:ext>
          </c:extLst>
        </c:ser>
        <c:ser>
          <c:idx val="1"/>
          <c:order val="1"/>
          <c:tx>
            <c:strRef>
              <c:f>'Fs. sambucinum'!$G$11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sambucinum'!$H$12:$H$14</c:f>
                <c:numCache>
                  <c:formatCode>General</c:formatCode>
                  <c:ptCount val="3"/>
                  <c:pt idx="0">
                    <c:v>2.0881916685123625E-2</c:v>
                  </c:pt>
                  <c:pt idx="1">
                    <c:v>3.9172935668505784E-2</c:v>
                  </c:pt>
                  <c:pt idx="2">
                    <c:v>4.1040910596532774E-2</c:v>
                  </c:pt>
                </c:numCache>
              </c:numRef>
            </c:plus>
            <c:minus>
              <c:numRef>
                <c:f>'Fs. sambucinum'!$H$12:$H$14</c:f>
                <c:numCache>
                  <c:formatCode>General</c:formatCode>
                  <c:ptCount val="3"/>
                  <c:pt idx="0">
                    <c:v>2.0881916685123625E-2</c:v>
                  </c:pt>
                  <c:pt idx="1">
                    <c:v>3.9172935668505784E-2</c:v>
                  </c:pt>
                  <c:pt idx="2">
                    <c:v>4.1040910596532774E-2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'Fs. sambucinum'!$G$12:$G$14</c:f>
              <c:numCache>
                <c:formatCode>General</c:formatCode>
                <c:ptCount val="3"/>
                <c:pt idx="0">
                  <c:v>2.3852000000000002</c:v>
                </c:pt>
                <c:pt idx="1">
                  <c:v>5.0796999999999999</c:v>
                </c:pt>
                <c:pt idx="2">
                  <c:v>9.2111833333333326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F3-4861-BBDB-7A3936EEE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2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520321844324428"/>
                  <c:y val="-0.184202642773101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5C'!$C$26:$C$35</c:f>
              <c:numCache>
                <c:formatCode>General</c:formatCode>
                <c:ptCount val="10"/>
                <c:pt idx="0">
                  <c:v>10.233333333333333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17.197916666666668</c:v>
                </c:pt>
                <c:pt idx="4">
                  <c:v>20.083333333333332</c:v>
                </c:pt>
                <c:pt idx="5">
                  <c:v>22.229166666666668</c:v>
                </c:pt>
                <c:pt idx="6">
                  <c:v>24.229166666666668</c:v>
                </c:pt>
                <c:pt idx="7">
                  <c:v>26.291666666666668</c:v>
                </c:pt>
                <c:pt idx="8">
                  <c:v>29.020833333333332</c:v>
                </c:pt>
                <c:pt idx="9">
                  <c:v>30.875</c:v>
                </c:pt>
              </c:numCache>
            </c:numRef>
          </c:xVal>
          <c:yVal>
            <c:numRef>
              <c:f>'F. sambucinum 5C'!$R$26:$R$35</c:f>
              <c:numCache>
                <c:formatCode>General</c:formatCode>
                <c:ptCount val="10"/>
                <c:pt idx="0">
                  <c:v>9.5</c:v>
                </c:pt>
                <c:pt idx="1">
                  <c:v>13</c:v>
                </c:pt>
                <c:pt idx="2">
                  <c:v>17</c:v>
                </c:pt>
                <c:pt idx="3">
                  <c:v>22</c:v>
                </c:pt>
                <c:pt idx="4">
                  <c:v>30</c:v>
                </c:pt>
                <c:pt idx="5">
                  <c:v>35.5</c:v>
                </c:pt>
                <c:pt idx="6">
                  <c:v>40.5</c:v>
                </c:pt>
                <c:pt idx="7">
                  <c:v>47</c:v>
                </c:pt>
                <c:pt idx="8">
                  <c:v>51.5</c:v>
                </c:pt>
                <c:pt idx="9">
                  <c:v>55.5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81168"/>
        <c:axId val="133381560"/>
      </c:scatterChart>
      <c:valAx>
        <c:axId val="133381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1560"/>
        <c:crosses val="autoZero"/>
        <c:crossBetween val="midCat"/>
      </c:valAx>
      <c:valAx>
        <c:axId val="133381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1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Lag time (</a:t>
            </a:r>
            <a:r>
              <a:rPr lang="en-GB">
                <a:latin typeface="Times New Roman" panose="02020603050405020304" pitchFamily="18" charset="0"/>
                <a:cs typeface="Times New Roman" panose="02020603050405020304" pitchFamily="18" charset="0"/>
              </a:rPr>
              <a:t>Ɣ</a:t>
            </a:r>
            <a:r>
              <a:rPr lang="en-GB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'Fs. sambucinum'!$E$18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sambucinum'!$F$19:$F$21</c:f>
                <c:numCache>
                  <c:formatCode>General</c:formatCode>
                  <c:ptCount val="3"/>
                  <c:pt idx="0">
                    <c:v>1.9161028247141676</c:v>
                  </c:pt>
                  <c:pt idx="1">
                    <c:v>0.34357587230220227</c:v>
                  </c:pt>
                  <c:pt idx="2">
                    <c:v>0.2513647546548719</c:v>
                  </c:pt>
                </c:numCache>
              </c:numRef>
            </c:plus>
            <c:minus>
              <c:numRef>
                <c:f>'Fs. sambucinum'!$F$19:$F$21</c:f>
                <c:numCache>
                  <c:formatCode>General</c:formatCode>
                  <c:ptCount val="3"/>
                  <c:pt idx="0">
                    <c:v>1.9161028247141676</c:v>
                  </c:pt>
                  <c:pt idx="1">
                    <c:v>0.34357587230220227</c:v>
                  </c:pt>
                  <c:pt idx="2">
                    <c:v>0.2513647546548719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sambucinum'!$D$19:$D$21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sambucinum'!$E$19:$E$21</c:f>
              <c:numCache>
                <c:formatCode>General</c:formatCode>
                <c:ptCount val="3"/>
                <c:pt idx="0">
                  <c:v>13.14549112735801</c:v>
                </c:pt>
                <c:pt idx="1">
                  <c:v>7.5273728566541038</c:v>
                </c:pt>
                <c:pt idx="2">
                  <c:v>3.5840746269165895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5C-4301-8A74-2631A2B45878}"/>
            </c:ext>
          </c:extLst>
        </c:ser>
        <c:ser>
          <c:idx val="1"/>
          <c:order val="1"/>
          <c:tx>
            <c:strRef>
              <c:f>'Fs. sambucinum'!$G$18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sambucinum'!$H$19:$H$21</c:f>
                <c:numCache>
                  <c:formatCode>General</c:formatCode>
                  <c:ptCount val="3"/>
                  <c:pt idx="0">
                    <c:v>0.297647832523107</c:v>
                  </c:pt>
                  <c:pt idx="1">
                    <c:v>8.8086030560699649E-2</c:v>
                  </c:pt>
                  <c:pt idx="2">
                    <c:v>3.3886556272669545E-2</c:v>
                  </c:pt>
                </c:numCache>
              </c:numRef>
            </c:plus>
            <c:minus>
              <c:numRef>
                <c:f>'Fs. sambucinum'!$H$19:$H$21</c:f>
                <c:numCache>
                  <c:formatCode>General</c:formatCode>
                  <c:ptCount val="3"/>
                  <c:pt idx="0">
                    <c:v>0.297647832523107</c:v>
                  </c:pt>
                  <c:pt idx="1">
                    <c:v>8.8086030560699649E-2</c:v>
                  </c:pt>
                  <c:pt idx="2">
                    <c:v>3.3886556272669545E-2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sambucinum'!$D$19:$D$21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sambucinum'!$G$19:$G$21</c:f>
              <c:numCache>
                <c:formatCode>General</c:formatCode>
                <c:ptCount val="3"/>
                <c:pt idx="0">
                  <c:v>10.636656226731676</c:v>
                </c:pt>
                <c:pt idx="1">
                  <c:v>4.259213383576899</c:v>
                </c:pt>
                <c:pt idx="2">
                  <c:v>1.7564326136194472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5C-4301-8A74-2631A2B45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3.9980009995002501E-2"/>
          <c:w val="0.77545427013930945"/>
          <c:h val="0.7456445005843535"/>
        </c:manualLayout>
      </c:layout>
      <c:barChart>
        <c:barDir val="col"/>
        <c:grouping val="clustered"/>
        <c:varyColors val="0"/>
        <c:ser>
          <c:idx val="0"/>
          <c:order val="0"/>
          <c:tx>
            <c:v>Growth rate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2A7-4E67-9FC8-DE7D89559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368672"/>
        <c:axId val="409369064"/>
      </c:barChart>
      <c:catAx>
        <c:axId val="40936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9064"/>
        <c:crosses val="autoZero"/>
        <c:auto val="1"/>
        <c:lblAlgn val="ctr"/>
        <c:lblOffset val="100"/>
        <c:noMultiLvlLbl val="0"/>
      </c:catAx>
      <c:valAx>
        <c:axId val="40936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Growth rate (µm)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'Fs. sambucinum (2)'!$E$11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 (2)'!$F$12:$F$14</c:f>
                <c:numCache>
                  <c:formatCode>General</c:formatCode>
                  <c:ptCount val="3"/>
                  <c:pt idx="0">
                    <c:v>3.3763322111427387E-2</c:v>
                  </c:pt>
                  <c:pt idx="1">
                    <c:v>3.5475753973664891E-2</c:v>
                  </c:pt>
                  <c:pt idx="2">
                    <c:v>4.8113349960737961E-2</c:v>
                  </c:pt>
                </c:numCache>
              </c:numRef>
            </c:plus>
            <c:minus>
              <c:numRef>
                <c:f>'Fs. sambucinum (2)'!$F$12:$F$14</c:f>
                <c:numCache>
                  <c:formatCode>General</c:formatCode>
                  <c:ptCount val="3"/>
                  <c:pt idx="0">
                    <c:v>3.3763322111427387E-2</c:v>
                  </c:pt>
                  <c:pt idx="1">
                    <c:v>3.5475753973664891E-2</c:v>
                  </c:pt>
                  <c:pt idx="2">
                    <c:v>4.8113349960737961E-2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sambucinum (2)'!$D$12:$D$14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sambucinum (2)'!$E$12:$E$14</c:f>
              <c:numCache>
                <c:formatCode>General</c:formatCode>
                <c:ptCount val="3"/>
                <c:pt idx="0">
                  <c:v>1.57952</c:v>
                </c:pt>
                <c:pt idx="1">
                  <c:v>3.02332</c:v>
                </c:pt>
                <c:pt idx="2">
                  <c:v>5.7279000000000009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CC6-A571-C431FCF6D3FD}"/>
            </c:ext>
          </c:extLst>
        </c:ser>
        <c:ser>
          <c:idx val="1"/>
          <c:order val="1"/>
          <c:tx>
            <c:strRef>
              <c:f>'Fs. sambucinum (2)'!$G$11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 (2)'!$H$12:$H$14</c:f>
                <c:numCache>
                  <c:formatCode>General</c:formatCode>
                  <c:ptCount val="3"/>
                  <c:pt idx="0">
                    <c:v>2.0881916685123625E-2</c:v>
                  </c:pt>
                  <c:pt idx="1">
                    <c:v>3.9172935668505784E-2</c:v>
                  </c:pt>
                  <c:pt idx="2">
                    <c:v>4.1040910596532774E-2</c:v>
                  </c:pt>
                </c:numCache>
              </c:numRef>
            </c:plus>
            <c:minus>
              <c:numRef>
                <c:f>'Fs. sambucinum (2)'!$H$12:$H$14</c:f>
                <c:numCache>
                  <c:formatCode>General</c:formatCode>
                  <c:ptCount val="3"/>
                  <c:pt idx="0">
                    <c:v>2.0881916685123625E-2</c:v>
                  </c:pt>
                  <c:pt idx="1">
                    <c:v>3.9172935668505784E-2</c:v>
                  </c:pt>
                  <c:pt idx="2">
                    <c:v>4.1040910596532774E-2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'Fs. sambucinum (2)'!$G$12:$G$14</c:f>
              <c:numCache>
                <c:formatCode>General</c:formatCode>
                <c:ptCount val="3"/>
                <c:pt idx="0">
                  <c:v>2.3852000000000002</c:v>
                </c:pt>
                <c:pt idx="1">
                  <c:v>5.0796999999999999</c:v>
                </c:pt>
                <c:pt idx="2">
                  <c:v>9.2111833333333326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2-4CC6-A571-C431FCF6D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Lag time (</a:t>
            </a:r>
            <a:r>
              <a:rPr lang="en-GB">
                <a:latin typeface="Times New Roman" panose="02020603050405020304" pitchFamily="18" charset="0"/>
                <a:cs typeface="Times New Roman" panose="02020603050405020304" pitchFamily="18" charset="0"/>
              </a:rPr>
              <a:t>Ɣ</a:t>
            </a:r>
            <a:r>
              <a:rPr lang="en-GB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'Fs. sambucinum (2)'!$E$18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 (2)'!$F$19:$F$21</c:f>
                <c:numCache>
                  <c:formatCode>General</c:formatCode>
                  <c:ptCount val="3"/>
                  <c:pt idx="0">
                    <c:v>1.9161028247141676</c:v>
                  </c:pt>
                  <c:pt idx="1">
                    <c:v>0.34357587230220227</c:v>
                  </c:pt>
                  <c:pt idx="2">
                    <c:v>0.2513647546548719</c:v>
                  </c:pt>
                </c:numCache>
              </c:numRef>
            </c:plus>
            <c:minus>
              <c:numRef>
                <c:f>'Fs. sambucinum (2)'!$F$19:$F$21</c:f>
                <c:numCache>
                  <c:formatCode>General</c:formatCode>
                  <c:ptCount val="3"/>
                  <c:pt idx="0">
                    <c:v>1.9161028247141676</c:v>
                  </c:pt>
                  <c:pt idx="1">
                    <c:v>0.34357587230220227</c:v>
                  </c:pt>
                  <c:pt idx="2">
                    <c:v>0.2513647546548719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sambucinum (2)'!$D$19:$D$21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sambucinum (2)'!$E$19:$E$21</c:f>
              <c:numCache>
                <c:formatCode>General</c:formatCode>
                <c:ptCount val="3"/>
                <c:pt idx="0">
                  <c:v>13.14549112735801</c:v>
                </c:pt>
                <c:pt idx="1">
                  <c:v>7.5273728566541038</c:v>
                </c:pt>
                <c:pt idx="2">
                  <c:v>3.5840746269165895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80-441C-817E-886E83D0DBC8}"/>
            </c:ext>
          </c:extLst>
        </c:ser>
        <c:ser>
          <c:idx val="1"/>
          <c:order val="1"/>
          <c:tx>
            <c:strRef>
              <c:f>'Fs. sambucinum (2)'!$G$18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sambucinum (2)'!$H$19:$H$21</c:f>
                <c:numCache>
                  <c:formatCode>General</c:formatCode>
                  <c:ptCount val="3"/>
                  <c:pt idx="0">
                    <c:v>0.297647832523107</c:v>
                  </c:pt>
                  <c:pt idx="1">
                    <c:v>8.8086030560699649E-2</c:v>
                  </c:pt>
                  <c:pt idx="2">
                    <c:v>3.3886556272669545E-2</c:v>
                  </c:pt>
                </c:numCache>
              </c:numRef>
            </c:plus>
            <c:minus>
              <c:numRef>
                <c:f>'Fs. sambucinum (2)'!$H$19:$H$21</c:f>
                <c:numCache>
                  <c:formatCode>General</c:formatCode>
                  <c:ptCount val="3"/>
                  <c:pt idx="0">
                    <c:v>0.297647832523107</c:v>
                  </c:pt>
                  <c:pt idx="1">
                    <c:v>8.8086030560699649E-2</c:v>
                  </c:pt>
                  <c:pt idx="2">
                    <c:v>3.3886556272669545E-2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sambucinum (2)'!$D$19:$D$21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sambucinum (2)'!$G$19:$G$21</c:f>
              <c:numCache>
                <c:formatCode>General</c:formatCode>
                <c:ptCount val="3"/>
                <c:pt idx="0">
                  <c:v>10.636656226731676</c:v>
                </c:pt>
                <c:pt idx="1">
                  <c:v>4.259213383576899</c:v>
                </c:pt>
                <c:pt idx="2">
                  <c:v>1.7564326136194472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80-441C-817E-886E83D0D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3.9980009995002501E-2"/>
          <c:w val="0.77545427013930945"/>
          <c:h val="0.7456445005843535"/>
        </c:manualLayout>
      </c:layout>
      <c:barChart>
        <c:barDir val="col"/>
        <c:grouping val="clustered"/>
        <c:varyColors val="0"/>
        <c:ser>
          <c:idx val="0"/>
          <c:order val="0"/>
          <c:tx>
            <c:v>Growth rate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9994-4AB9-B18A-5043D04AF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368672"/>
        <c:axId val="409369064"/>
      </c:barChart>
      <c:catAx>
        <c:axId val="40936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9064"/>
        <c:crosses val="autoZero"/>
        <c:auto val="1"/>
        <c:lblAlgn val="ctr"/>
        <c:lblOffset val="100"/>
        <c:noMultiLvlLbl val="0"/>
      </c:catAx>
      <c:valAx>
        <c:axId val="40936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Growth rate (µm)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'Fs. oxysporum'!$E$11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oxysporum'!$F$12:$F$14</c:f>
                <c:numCache>
                  <c:formatCode>General</c:formatCode>
                  <c:ptCount val="3"/>
                  <c:pt idx="0">
                    <c:v>3.8007219099846064E-2</c:v>
                  </c:pt>
                  <c:pt idx="1">
                    <c:v>6.2099640662167832E-2</c:v>
                  </c:pt>
                  <c:pt idx="2">
                    <c:v>0.17995484413020379</c:v>
                  </c:pt>
                </c:numCache>
              </c:numRef>
            </c:plus>
            <c:minus>
              <c:numRef>
                <c:f>'Fs. oxysporum'!$F$12:$F$14</c:f>
                <c:numCache>
                  <c:formatCode>General</c:formatCode>
                  <c:ptCount val="3"/>
                  <c:pt idx="0">
                    <c:v>3.8007219099846064E-2</c:v>
                  </c:pt>
                  <c:pt idx="1">
                    <c:v>6.2099640662167832E-2</c:v>
                  </c:pt>
                  <c:pt idx="2">
                    <c:v>0.17995484413020379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oxysporum'!$D$12:$D$14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oxysporum'!$E$12:$E$14</c:f>
              <c:numCache>
                <c:formatCode>General</c:formatCode>
                <c:ptCount val="3"/>
                <c:pt idx="0">
                  <c:v>1.5829333333333333</c:v>
                </c:pt>
                <c:pt idx="1">
                  <c:v>2.9161666666666668</c:v>
                </c:pt>
                <c:pt idx="2">
                  <c:v>4.5671333333333335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42-4E97-84CB-199E50ABCC5D}"/>
            </c:ext>
          </c:extLst>
        </c:ser>
        <c:ser>
          <c:idx val="1"/>
          <c:order val="1"/>
          <c:tx>
            <c:strRef>
              <c:f>'Fs. oxysporum'!$G$11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oxysporum'!$H$12:$H$14</c:f>
                <c:numCache>
                  <c:formatCode>General</c:formatCode>
                  <c:ptCount val="3"/>
                  <c:pt idx="0">
                    <c:v>1.7281568001561439E-2</c:v>
                  </c:pt>
                  <c:pt idx="1">
                    <c:v>3.9341303924049713E-2</c:v>
                  </c:pt>
                  <c:pt idx="2">
                    <c:v>2.7184816704536693E-2</c:v>
                  </c:pt>
                </c:numCache>
              </c:numRef>
            </c:plus>
            <c:minus>
              <c:numRef>
                <c:f>'Fs. oxysporum'!$H$12:$H$14</c:f>
                <c:numCache>
                  <c:formatCode>General</c:formatCode>
                  <c:ptCount val="3"/>
                  <c:pt idx="0">
                    <c:v>1.7281568001561439E-2</c:v>
                  </c:pt>
                  <c:pt idx="1">
                    <c:v>3.9341303924049713E-2</c:v>
                  </c:pt>
                  <c:pt idx="2">
                    <c:v>2.7184816704536693E-2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'Fs. oxysporum'!$G$12:$G$14</c:f>
              <c:numCache>
                <c:formatCode>General</c:formatCode>
                <c:ptCount val="3"/>
                <c:pt idx="0">
                  <c:v>2.5223666666666666</c:v>
                </c:pt>
                <c:pt idx="1">
                  <c:v>4.84985</c:v>
                </c:pt>
                <c:pt idx="2">
                  <c:v>7.0717666666666661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42-4E97-84CB-199E50ABC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Lag time (</a:t>
            </a:r>
            <a:r>
              <a:rPr lang="en-GB">
                <a:latin typeface="Times New Roman" panose="02020603050405020304" pitchFamily="18" charset="0"/>
                <a:cs typeface="Times New Roman" panose="02020603050405020304" pitchFamily="18" charset="0"/>
              </a:rPr>
              <a:t>Ɣ</a:t>
            </a:r>
            <a:r>
              <a:rPr lang="en-GB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'Fs. oxysporum'!$E$18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oxysporum'!$F$19:$F$21</c:f>
                <c:numCache>
                  <c:formatCode>General</c:formatCode>
                  <c:ptCount val="3"/>
                  <c:pt idx="0">
                    <c:v>1.0290025442942372</c:v>
                  </c:pt>
                  <c:pt idx="1">
                    <c:v>0.76146141518253796</c:v>
                  </c:pt>
                  <c:pt idx="2">
                    <c:v>7.0005657842057048E-2</c:v>
                  </c:pt>
                </c:numCache>
              </c:numRef>
            </c:plus>
            <c:minus>
              <c:numRef>
                <c:f>'Fs. oxysporum'!$F$19:$F$21</c:f>
                <c:numCache>
                  <c:formatCode>General</c:formatCode>
                  <c:ptCount val="3"/>
                  <c:pt idx="0">
                    <c:v>1.0290025442942372</c:v>
                  </c:pt>
                  <c:pt idx="1">
                    <c:v>0.76146141518253796</c:v>
                  </c:pt>
                  <c:pt idx="2">
                    <c:v>7.0005657842057048E-2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oxysporum'!$D$19:$D$21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oxysporum'!$E$19:$E$21</c:f>
              <c:numCache>
                <c:formatCode>General</c:formatCode>
                <c:ptCount val="3"/>
                <c:pt idx="0">
                  <c:v>13.356731457314448</c:v>
                </c:pt>
                <c:pt idx="1">
                  <c:v>4.5076135384325529</c:v>
                </c:pt>
                <c:pt idx="2">
                  <c:v>2.3313110143146352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C3-411D-9C9B-81CEB38ADDA9}"/>
            </c:ext>
          </c:extLst>
        </c:ser>
        <c:ser>
          <c:idx val="1"/>
          <c:order val="1"/>
          <c:tx>
            <c:strRef>
              <c:f>'Fs. oxysporum'!$G$18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oxysporum'!$H$19:$H$21</c:f>
                <c:numCache>
                  <c:formatCode>General</c:formatCode>
                  <c:ptCount val="3"/>
                  <c:pt idx="0">
                    <c:v>0.18107302452384369</c:v>
                  </c:pt>
                  <c:pt idx="1">
                    <c:v>9.9961103573396326E-2</c:v>
                  </c:pt>
                  <c:pt idx="2">
                    <c:v>7.2406839563488146E-2</c:v>
                  </c:pt>
                </c:numCache>
              </c:numRef>
            </c:plus>
            <c:minus>
              <c:numRef>
                <c:f>'Fs. oxysporum'!$H$19:$H$21</c:f>
                <c:numCache>
                  <c:formatCode>General</c:formatCode>
                  <c:ptCount val="3"/>
                  <c:pt idx="0">
                    <c:v>0.18107302452384369</c:v>
                  </c:pt>
                  <c:pt idx="1">
                    <c:v>9.9961103573396326E-2</c:v>
                  </c:pt>
                  <c:pt idx="2">
                    <c:v>7.2406839563488146E-2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oxysporum'!$D$19:$D$21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oxysporum'!$G$19:$G$21</c:f>
              <c:numCache>
                <c:formatCode>General</c:formatCode>
                <c:ptCount val="3"/>
                <c:pt idx="0">
                  <c:v>6.2421781733761117</c:v>
                </c:pt>
                <c:pt idx="1">
                  <c:v>3.5501994137387363</c:v>
                </c:pt>
                <c:pt idx="2">
                  <c:v>1.065029676379017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C3-411D-9C9B-81CEB38ADD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3.9980009995002501E-2"/>
          <c:w val="0.77545427013930945"/>
          <c:h val="0.7456445005843535"/>
        </c:manualLayout>
      </c:layout>
      <c:barChart>
        <c:barDir val="col"/>
        <c:grouping val="clustered"/>
        <c:varyColors val="0"/>
        <c:ser>
          <c:idx val="0"/>
          <c:order val="0"/>
          <c:tx>
            <c:v>Growth rate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CCA-453E-A3E2-198802E4D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368672"/>
        <c:axId val="409369064"/>
      </c:barChart>
      <c:catAx>
        <c:axId val="40936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9064"/>
        <c:crosses val="autoZero"/>
        <c:auto val="1"/>
        <c:lblAlgn val="ctr"/>
        <c:lblOffset val="100"/>
        <c:noMultiLvlLbl val="0"/>
      </c:catAx>
      <c:valAx>
        <c:axId val="40936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Growth rate (µm)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'Fs. oxysporum (2)'!$E$11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 (2)'!$F$12:$F$14</c:f>
                <c:numCache>
                  <c:formatCode>General</c:formatCode>
                  <c:ptCount val="3"/>
                  <c:pt idx="0">
                    <c:v>3.8007219099846064E-2</c:v>
                  </c:pt>
                  <c:pt idx="1">
                    <c:v>6.2099640662167832E-2</c:v>
                  </c:pt>
                  <c:pt idx="2">
                    <c:v>0.17995484413020379</c:v>
                  </c:pt>
                </c:numCache>
              </c:numRef>
            </c:plus>
            <c:minus>
              <c:numRef>
                <c:f>'Fs. oxysporum (2)'!$F$12:$F$14</c:f>
                <c:numCache>
                  <c:formatCode>General</c:formatCode>
                  <c:ptCount val="3"/>
                  <c:pt idx="0">
                    <c:v>3.8007219099846064E-2</c:v>
                  </c:pt>
                  <c:pt idx="1">
                    <c:v>6.2099640662167832E-2</c:v>
                  </c:pt>
                  <c:pt idx="2">
                    <c:v>0.17995484413020379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oxysporum (2)'!$D$12:$D$14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oxysporum (2)'!$E$12:$E$14</c:f>
              <c:numCache>
                <c:formatCode>General</c:formatCode>
                <c:ptCount val="3"/>
                <c:pt idx="0">
                  <c:v>1.5829333333333333</c:v>
                </c:pt>
                <c:pt idx="1">
                  <c:v>2.9161666666666668</c:v>
                </c:pt>
                <c:pt idx="2">
                  <c:v>4.5671333333333335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B-4DD0-A521-16ADEB20DFA3}"/>
            </c:ext>
          </c:extLst>
        </c:ser>
        <c:ser>
          <c:idx val="1"/>
          <c:order val="1"/>
          <c:tx>
            <c:strRef>
              <c:f>'Fs. oxysporum (2)'!$G$11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 (2)'!$H$12:$H$14</c:f>
                <c:numCache>
                  <c:formatCode>General</c:formatCode>
                  <c:ptCount val="3"/>
                  <c:pt idx="0">
                    <c:v>1.7281568001561439E-2</c:v>
                  </c:pt>
                  <c:pt idx="1">
                    <c:v>3.9341303924049713E-2</c:v>
                  </c:pt>
                  <c:pt idx="2">
                    <c:v>2.7184816704536693E-2</c:v>
                  </c:pt>
                </c:numCache>
              </c:numRef>
            </c:plus>
            <c:minus>
              <c:numRef>
                <c:f>'Fs. oxysporum (2)'!$H$12:$H$14</c:f>
                <c:numCache>
                  <c:formatCode>General</c:formatCode>
                  <c:ptCount val="3"/>
                  <c:pt idx="0">
                    <c:v>1.7281568001561439E-2</c:v>
                  </c:pt>
                  <c:pt idx="1">
                    <c:v>3.9341303924049713E-2</c:v>
                  </c:pt>
                  <c:pt idx="2">
                    <c:v>2.7184816704536693E-2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'Fs. oxysporum (2)'!$G$12:$G$14</c:f>
              <c:numCache>
                <c:formatCode>General</c:formatCode>
                <c:ptCount val="3"/>
                <c:pt idx="0">
                  <c:v>2.5223666666666666</c:v>
                </c:pt>
                <c:pt idx="1">
                  <c:v>4.84985</c:v>
                </c:pt>
                <c:pt idx="2">
                  <c:v>7.0717666666666661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B-4DD0-A521-16ADEB20D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/>
              <a:t>Lag time (</a:t>
            </a:r>
            <a:r>
              <a:rPr lang="en-GB">
                <a:latin typeface="Times New Roman" panose="02020603050405020304" pitchFamily="18" charset="0"/>
                <a:cs typeface="Times New Roman" panose="02020603050405020304" pitchFamily="18" charset="0"/>
              </a:rPr>
              <a:t>Ɣ</a:t>
            </a:r>
            <a:r>
              <a:rPr lang="en-GB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0109986695082765"/>
          <c:y val="0.13048904697845476"/>
          <c:w val="0.86815637048561556"/>
          <c:h val="0.71100643359504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'Fs. oxysporum (2)'!$E$18</c:f>
              <c:strCache>
                <c:ptCount val="1"/>
                <c:pt idx="0">
                  <c:v>0.97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 (2)'!$F$19:$F$21</c:f>
                <c:numCache>
                  <c:formatCode>General</c:formatCode>
                  <c:ptCount val="3"/>
                  <c:pt idx="0">
                    <c:v>1.0290025442942372</c:v>
                  </c:pt>
                  <c:pt idx="1">
                    <c:v>0.76146141518253796</c:v>
                  </c:pt>
                  <c:pt idx="2">
                    <c:v>7.0005657842057048E-2</c:v>
                  </c:pt>
                </c:numCache>
              </c:numRef>
            </c:plus>
            <c:minus>
              <c:numRef>
                <c:f>'Fs. oxysporum (2)'!$F$19:$F$21</c:f>
                <c:numCache>
                  <c:formatCode>General</c:formatCode>
                  <c:ptCount val="3"/>
                  <c:pt idx="0">
                    <c:v>1.0290025442942372</c:v>
                  </c:pt>
                  <c:pt idx="1">
                    <c:v>0.76146141518253796</c:v>
                  </c:pt>
                  <c:pt idx="2">
                    <c:v>7.0005657842057048E-2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oxysporum (2)'!$D$19:$D$21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oxysporum (2)'!$E$19:$E$21</c:f>
              <c:numCache>
                <c:formatCode>General</c:formatCode>
                <c:ptCount val="3"/>
                <c:pt idx="0">
                  <c:v>13.356731457314448</c:v>
                </c:pt>
                <c:pt idx="1">
                  <c:v>4.5076135384325529</c:v>
                </c:pt>
                <c:pt idx="2">
                  <c:v>2.3313110143146352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A4-4CA0-974C-4EF42109A303}"/>
            </c:ext>
          </c:extLst>
        </c:ser>
        <c:ser>
          <c:idx val="1"/>
          <c:order val="1"/>
          <c:tx>
            <c:strRef>
              <c:f>'Fs. oxysporum (2)'!$G$18</c:f>
              <c:strCache>
                <c:ptCount val="1"/>
                <c:pt idx="0">
                  <c:v>0.99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'Fs. oxysporum (2)'!$H$19:$H$21</c:f>
                <c:numCache>
                  <c:formatCode>General</c:formatCode>
                  <c:ptCount val="3"/>
                  <c:pt idx="0">
                    <c:v>0.18107302452384369</c:v>
                  </c:pt>
                  <c:pt idx="1">
                    <c:v>9.9961103573396326E-2</c:v>
                  </c:pt>
                  <c:pt idx="2">
                    <c:v>7.2406839563488146E-2</c:v>
                  </c:pt>
                </c:numCache>
              </c:numRef>
            </c:plus>
            <c:minus>
              <c:numRef>
                <c:f>'Fs. oxysporum (2)'!$H$19:$H$21</c:f>
                <c:numCache>
                  <c:formatCode>General</c:formatCode>
                  <c:ptCount val="3"/>
                  <c:pt idx="0">
                    <c:v>0.18107302452384369</c:v>
                  </c:pt>
                  <c:pt idx="1">
                    <c:v>9.9961103573396326E-2</c:v>
                  </c:pt>
                  <c:pt idx="2">
                    <c:v>7.2406839563488146E-2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'Fs. oxysporum (2)'!$D$19:$D$21</c:f>
              <c:strCache>
                <c:ptCount val="3"/>
                <c:pt idx="0">
                  <c:v>4.5C</c:v>
                </c:pt>
                <c:pt idx="1">
                  <c:v>8.5C</c:v>
                </c:pt>
                <c:pt idx="2">
                  <c:v>15C</c:v>
                </c:pt>
              </c:strCache>
            </c:strRef>
          </c:cat>
          <c:val>
            <c:numRef>
              <c:f>'Fs. oxysporum (2)'!$G$19:$G$21</c:f>
              <c:numCache>
                <c:formatCode>General</c:formatCode>
                <c:ptCount val="3"/>
                <c:pt idx="0">
                  <c:v>6.2421781733761117</c:v>
                </c:pt>
                <c:pt idx="1">
                  <c:v>3.5501994137387363</c:v>
                </c:pt>
                <c:pt idx="2">
                  <c:v>1.065029676379017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A4-4CA0-974C-4EF42109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7688"/>
        <c:axId val="627201456"/>
      </c:barChart>
      <c:catAx>
        <c:axId val="62720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1456"/>
        <c:crosses val="autoZero"/>
        <c:auto val="1"/>
        <c:lblAlgn val="ctr"/>
        <c:lblOffset val="100"/>
        <c:noMultiLvlLbl val="0"/>
      </c:catAx>
      <c:valAx>
        <c:axId val="62720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mm of diamter /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2720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 Plate 3</a:t>
            </a:r>
            <a:endParaRPr lang="en-US" b="0" u="none"/>
          </a:p>
        </c:rich>
      </c:tx>
      <c:layout>
        <c:manualLayout>
          <c:xMode val="edge"/>
          <c:yMode val="edge"/>
          <c:x val="0.42610273490659595"/>
          <c:y val="2.6480584379930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950178066158235"/>
          <c:y val="0.18420278758234598"/>
          <c:w val="0.84286894232584164"/>
          <c:h val="0.674735785027205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9661213666586553E-2"/>
                  <c:y val="-0.18981459388283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'F. sambucinum 5C'!$C$26:$C$35</c:f>
              <c:numCache>
                <c:formatCode>General</c:formatCode>
                <c:ptCount val="10"/>
                <c:pt idx="0">
                  <c:v>10.233333333333333</c:v>
                </c:pt>
                <c:pt idx="1">
                  <c:v>13.020833333333334</c:v>
                </c:pt>
                <c:pt idx="2">
                  <c:v>15.208333333333334</c:v>
                </c:pt>
                <c:pt idx="3">
                  <c:v>17.197916666666668</c:v>
                </c:pt>
                <c:pt idx="4">
                  <c:v>20.083333333333332</c:v>
                </c:pt>
                <c:pt idx="5">
                  <c:v>22.229166666666668</c:v>
                </c:pt>
                <c:pt idx="6">
                  <c:v>24.229166666666668</c:v>
                </c:pt>
                <c:pt idx="7">
                  <c:v>26.291666666666668</c:v>
                </c:pt>
                <c:pt idx="8">
                  <c:v>29.020833333333332</c:v>
                </c:pt>
                <c:pt idx="9">
                  <c:v>30.875</c:v>
                </c:pt>
              </c:numCache>
            </c:numRef>
          </c:xVal>
          <c:yVal>
            <c:numRef>
              <c:f>'F. sambucinum 5C'!$S$26:$S$35</c:f>
              <c:numCache>
                <c:formatCode>General</c:formatCode>
                <c:ptCount val="10"/>
                <c:pt idx="0">
                  <c:v>9.5</c:v>
                </c:pt>
                <c:pt idx="1">
                  <c:v>12</c:v>
                </c:pt>
                <c:pt idx="2">
                  <c:v>16</c:v>
                </c:pt>
                <c:pt idx="3">
                  <c:v>20.5</c:v>
                </c:pt>
                <c:pt idx="4">
                  <c:v>28.5</c:v>
                </c:pt>
                <c:pt idx="5">
                  <c:v>33</c:v>
                </c:pt>
                <c:pt idx="6">
                  <c:v>39.5</c:v>
                </c:pt>
                <c:pt idx="7">
                  <c:v>45</c:v>
                </c:pt>
                <c:pt idx="8">
                  <c:v>50.5</c:v>
                </c:pt>
                <c:pt idx="9">
                  <c:v>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F4-4EA4-ADDE-9BC515837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33824"/>
        <c:axId val="133382344"/>
      </c:scatterChart>
      <c:valAx>
        <c:axId val="224133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</a:t>
                </a:r>
                <a:r>
                  <a:rPr lang="en-US" b="1" i="1"/>
                  <a:t>days</a:t>
                </a:r>
                <a:r>
                  <a:rPr lang="en-US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382344"/>
        <c:crosses val="autoZero"/>
        <c:crossBetween val="midCat"/>
      </c:valAx>
      <c:valAx>
        <c:axId val="133382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Colony size (</a:t>
                </a:r>
                <a:r>
                  <a:rPr lang="en-US" b="1" i="1"/>
                  <a:t>mm</a:t>
                </a:r>
                <a:r>
                  <a:rPr lang="en-US" b="1"/>
                  <a:t>)</a:t>
                </a:r>
              </a:p>
            </c:rich>
          </c:tx>
          <c:layout>
            <c:manualLayout>
              <c:xMode val="edge"/>
              <c:yMode val="edge"/>
              <c:x val="1.4167649477626493E-2"/>
              <c:y val="0.33412704061242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4133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3.9980009995002501E-2"/>
          <c:w val="0.77545427013930945"/>
          <c:h val="0.7456445005843535"/>
        </c:manualLayout>
      </c:layout>
      <c:barChart>
        <c:barDir val="col"/>
        <c:grouping val="clustered"/>
        <c:varyColors val="0"/>
        <c:ser>
          <c:idx val="0"/>
          <c:order val="0"/>
          <c:tx>
            <c:v>Growth rate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Graphs!#REF!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Graphs!#REF!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78D-40D0-B778-EB7198270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368672"/>
        <c:axId val="409369064"/>
      </c:barChart>
      <c:catAx>
        <c:axId val="40936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9064"/>
        <c:crosses val="autoZero"/>
        <c:auto val="1"/>
        <c:lblAlgn val="ctr"/>
        <c:lblOffset val="100"/>
        <c:noMultiLvlLbl val="0"/>
      </c:catAx>
      <c:valAx>
        <c:axId val="40936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936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Growth rate (</a:t>
            </a:r>
            <a:r>
              <a:rPr lang="en-GB" sz="1400" b="0" i="0" u="none" strike="noStrike" baseline="0">
                <a:effectLst/>
              </a:rPr>
              <a:t>µ</a:t>
            </a:r>
            <a:r>
              <a:rPr lang="en-US"/>
              <a:t>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90219330256639"/>
          <c:y val="0.17812713602187288"/>
          <c:w val="0.84269343817321074"/>
          <c:h val="0.54494575737841378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sambucinum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'Between Fusarium spp.'!$G$3:$G$8</c:f>
                <c:numCache>
                  <c:formatCode>General</c:formatCode>
                  <c:ptCount val="6"/>
                  <c:pt idx="0">
                    <c:v>3.3763322111427387E-2</c:v>
                  </c:pt>
                  <c:pt idx="1">
                    <c:v>2.0881916685123625E-2</c:v>
                  </c:pt>
                  <c:pt idx="2">
                    <c:v>3.5475753973664891E-2</c:v>
                  </c:pt>
                  <c:pt idx="3">
                    <c:v>3.9172935668505784E-2</c:v>
                  </c:pt>
                  <c:pt idx="4">
                    <c:v>4.8113349960737961E-2</c:v>
                  </c:pt>
                  <c:pt idx="5">
                    <c:v>4.1040910596532774E-2</c:v>
                  </c:pt>
                </c:numCache>
              </c:numRef>
            </c:plus>
            <c:minus>
              <c:numRef>
                <c:f>'Between Fusarium spp.'!$G$3:$G$8</c:f>
                <c:numCache>
                  <c:formatCode>General</c:formatCode>
                  <c:ptCount val="6"/>
                  <c:pt idx="0">
                    <c:v>3.3763322111427387E-2</c:v>
                  </c:pt>
                  <c:pt idx="1">
                    <c:v>2.0881916685123625E-2</c:v>
                  </c:pt>
                  <c:pt idx="2">
                    <c:v>3.5475753973664891E-2</c:v>
                  </c:pt>
                  <c:pt idx="3">
                    <c:v>3.9172935668505784E-2</c:v>
                  </c:pt>
                  <c:pt idx="4">
                    <c:v>4.8113349960737961E-2</c:v>
                  </c:pt>
                  <c:pt idx="5">
                    <c:v>4.1040910596532774E-2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'Between Fusarium spp.'!$D$3:$E$8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5C</c:v>
                  </c:pt>
                  <c:pt idx="2">
                    <c:v>10C</c:v>
                  </c:pt>
                  <c:pt idx="4">
                    <c:v>15C</c:v>
                  </c:pt>
                </c:lvl>
              </c:multiLvlStrCache>
            </c:multiLvlStrRef>
          </c:cat>
          <c:val>
            <c:numRef>
              <c:f>'Between Fusarium spp.'!$F$3:$F$8</c:f>
              <c:numCache>
                <c:formatCode>General</c:formatCode>
                <c:ptCount val="6"/>
                <c:pt idx="0">
                  <c:v>1.57952</c:v>
                </c:pt>
                <c:pt idx="1">
                  <c:v>2.3852000000000002</c:v>
                </c:pt>
                <c:pt idx="2">
                  <c:v>3.02332</c:v>
                </c:pt>
                <c:pt idx="3">
                  <c:v>5.0796999999999999</c:v>
                </c:pt>
                <c:pt idx="4">
                  <c:v>5.7279000000000009</c:v>
                </c:pt>
                <c:pt idx="5">
                  <c:v>9.2111833333333326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03-483D-8EC7-86F20CF77262}"/>
            </c:ext>
          </c:extLst>
        </c:ser>
        <c:ser>
          <c:idx val="1"/>
          <c:order val="1"/>
          <c:tx>
            <c:v>Fusarium oxysporum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'Between Fusarium spp.'!$G$9:$G$14</c:f>
                <c:numCache>
                  <c:formatCode>General</c:formatCode>
                  <c:ptCount val="6"/>
                  <c:pt idx="0">
                    <c:v>3.8007219099846064E-2</c:v>
                  </c:pt>
                  <c:pt idx="1">
                    <c:v>1.7281568001561439E-2</c:v>
                  </c:pt>
                  <c:pt idx="2">
                    <c:v>6.2099640662167832E-2</c:v>
                  </c:pt>
                  <c:pt idx="3">
                    <c:v>3.9341303924049713E-2</c:v>
                  </c:pt>
                  <c:pt idx="4">
                    <c:v>0.17995484413020379</c:v>
                  </c:pt>
                  <c:pt idx="5">
                    <c:v>2.7184816704536693E-2</c:v>
                  </c:pt>
                </c:numCache>
              </c:numRef>
            </c:plus>
            <c:minus>
              <c:numRef>
                <c:f>'Between Fusarium spp.'!$G$9:$G$14</c:f>
                <c:numCache>
                  <c:formatCode>General</c:formatCode>
                  <c:ptCount val="6"/>
                  <c:pt idx="0">
                    <c:v>3.8007219099846064E-2</c:v>
                  </c:pt>
                  <c:pt idx="1">
                    <c:v>1.7281568001561439E-2</c:v>
                  </c:pt>
                  <c:pt idx="2">
                    <c:v>6.2099640662167832E-2</c:v>
                  </c:pt>
                  <c:pt idx="3">
                    <c:v>3.9341303924049713E-2</c:v>
                  </c:pt>
                  <c:pt idx="4">
                    <c:v>0.17995484413020379</c:v>
                  </c:pt>
                  <c:pt idx="5">
                    <c:v>2.7184816704536693E-2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'Between Fusarium spp.'!$F$9:$F$14</c:f>
              <c:numCache>
                <c:formatCode>General</c:formatCode>
                <c:ptCount val="6"/>
                <c:pt idx="0">
                  <c:v>1.5829333333333333</c:v>
                </c:pt>
                <c:pt idx="1">
                  <c:v>2.5223666666666666</c:v>
                </c:pt>
                <c:pt idx="2">
                  <c:v>2.9161666666666668</c:v>
                </c:pt>
                <c:pt idx="3">
                  <c:v>4.84985</c:v>
                </c:pt>
                <c:pt idx="4">
                  <c:v>4.5671333333333335</c:v>
                </c:pt>
                <c:pt idx="5">
                  <c:v>7.0717666666666661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03-483D-8EC7-86F20CF77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375560"/>
        <c:axId val="640374248"/>
      </c:barChart>
      <c:catAx>
        <c:axId val="64037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4248"/>
        <c:crosses val="autoZero"/>
        <c:auto val="1"/>
        <c:lblAlgn val="ctr"/>
        <c:lblOffset val="100"/>
        <c:noMultiLvlLbl val="0"/>
      </c:catAx>
      <c:valAx>
        <c:axId val="640374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 of diameter/day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5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Lag time (days)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Fusarium sambucinum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'Between Fusarium spp.'!$I$3:$I$8</c:f>
                <c:numCache>
                  <c:formatCode>General</c:formatCode>
                  <c:ptCount val="6"/>
                  <c:pt idx="0">
                    <c:v>1.9161028247141676</c:v>
                  </c:pt>
                  <c:pt idx="1">
                    <c:v>0.297647832523107</c:v>
                  </c:pt>
                  <c:pt idx="2">
                    <c:v>0.34357587230220227</c:v>
                  </c:pt>
                  <c:pt idx="3">
                    <c:v>8.8086030560699649E-2</c:v>
                  </c:pt>
                  <c:pt idx="4">
                    <c:v>0.2513647546548719</c:v>
                  </c:pt>
                  <c:pt idx="5">
                    <c:v>3.3886556272669545E-2</c:v>
                  </c:pt>
                </c:numCache>
              </c:numRef>
            </c:plus>
            <c:minus>
              <c:numRef>
                <c:f>'Between Fusarium spp.'!$I$3:$I$8</c:f>
                <c:numCache>
                  <c:formatCode>General</c:formatCode>
                  <c:ptCount val="6"/>
                  <c:pt idx="0">
                    <c:v>1.9161028247141676</c:v>
                  </c:pt>
                  <c:pt idx="1">
                    <c:v>0.297647832523107</c:v>
                  </c:pt>
                  <c:pt idx="2">
                    <c:v>0.34357587230220227</c:v>
                  </c:pt>
                  <c:pt idx="3">
                    <c:v>8.8086030560699649E-2</c:v>
                  </c:pt>
                  <c:pt idx="4">
                    <c:v>0.2513647546548719</c:v>
                  </c:pt>
                  <c:pt idx="5">
                    <c:v>3.3886556272669545E-2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'Between Fusarium spp.'!$D$3:$E$8</c:f>
              <c:multiLvlStrCache>
                <c:ptCount val="6"/>
                <c:lvl>
                  <c:pt idx="0">
                    <c:v>0.97</c:v>
                  </c:pt>
                  <c:pt idx="1">
                    <c:v>0.99</c:v>
                  </c:pt>
                  <c:pt idx="2">
                    <c:v>0.97</c:v>
                  </c:pt>
                  <c:pt idx="3">
                    <c:v>0.99</c:v>
                  </c:pt>
                  <c:pt idx="4">
                    <c:v>0.97</c:v>
                  </c:pt>
                  <c:pt idx="5">
                    <c:v>0.99</c:v>
                  </c:pt>
                </c:lvl>
                <c:lvl>
                  <c:pt idx="0">
                    <c:v>5C</c:v>
                  </c:pt>
                  <c:pt idx="2">
                    <c:v>10C</c:v>
                  </c:pt>
                  <c:pt idx="4">
                    <c:v>15C</c:v>
                  </c:pt>
                </c:lvl>
              </c:multiLvlStrCache>
            </c:multiLvlStrRef>
          </c:cat>
          <c:val>
            <c:numRef>
              <c:f>'Between Fusarium spp.'!$H$3:$H$8</c:f>
              <c:numCache>
                <c:formatCode>General</c:formatCode>
                <c:ptCount val="6"/>
                <c:pt idx="0">
                  <c:v>13.14549112735801</c:v>
                </c:pt>
                <c:pt idx="1">
                  <c:v>10.636656226731676</c:v>
                </c:pt>
                <c:pt idx="2">
                  <c:v>7.5273728566541038</c:v>
                </c:pt>
                <c:pt idx="3">
                  <c:v>4.259213383576899</c:v>
                </c:pt>
                <c:pt idx="4">
                  <c:v>3.5840746269165895</c:v>
                </c:pt>
                <c:pt idx="5">
                  <c:v>1.7564326136194472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5-4AD9-8B32-D423BE8D4104}"/>
            </c:ext>
          </c:extLst>
        </c:ser>
        <c:ser>
          <c:idx val="1"/>
          <c:order val="1"/>
          <c:tx>
            <c:v>Fusarium oxysporum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'Between Fusarium spp.'!$I$9:$I$14</c:f>
                <c:numCache>
                  <c:formatCode>General</c:formatCode>
                  <c:ptCount val="6"/>
                  <c:pt idx="0">
                    <c:v>1.0290025442942372</c:v>
                  </c:pt>
                  <c:pt idx="1">
                    <c:v>0.18107302452384369</c:v>
                  </c:pt>
                  <c:pt idx="2">
                    <c:v>0.76146141518253796</c:v>
                  </c:pt>
                  <c:pt idx="3">
                    <c:v>9.9961103573396326E-2</c:v>
                  </c:pt>
                  <c:pt idx="4">
                    <c:v>7.0005657842057048E-2</c:v>
                  </c:pt>
                  <c:pt idx="5">
                    <c:v>7.2406839563488146E-2</c:v>
                  </c:pt>
                </c:numCache>
              </c:numRef>
            </c:plus>
            <c:minus>
              <c:numRef>
                <c:f>'Between Fusarium spp.'!$I$9:$I$14</c:f>
                <c:numCache>
                  <c:formatCode>General</c:formatCode>
                  <c:ptCount val="6"/>
                  <c:pt idx="0">
                    <c:v>1.0290025442942372</c:v>
                  </c:pt>
                  <c:pt idx="1">
                    <c:v>0.18107302452384369</c:v>
                  </c:pt>
                  <c:pt idx="2">
                    <c:v>0.76146141518253796</c:v>
                  </c:pt>
                  <c:pt idx="3">
                    <c:v>9.9961103573396326E-2</c:v>
                  </c:pt>
                  <c:pt idx="4">
                    <c:v>7.0005657842057048E-2</c:v>
                  </c:pt>
                  <c:pt idx="5">
                    <c:v>7.2406839563488146E-2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'Between Fusarium spp.'!$H$9:$H$14</c:f>
              <c:numCache>
                <c:formatCode>General</c:formatCode>
                <c:ptCount val="6"/>
                <c:pt idx="0">
                  <c:v>13.356731457314448</c:v>
                </c:pt>
                <c:pt idx="1">
                  <c:v>6.2421781733761117</c:v>
                </c:pt>
                <c:pt idx="2">
                  <c:v>4.5076135384325529</c:v>
                </c:pt>
                <c:pt idx="3">
                  <c:v>3.5501994137387363</c:v>
                </c:pt>
                <c:pt idx="4">
                  <c:v>2.3313110143146352</c:v>
                </c:pt>
                <c:pt idx="5">
                  <c:v>1.065029676379017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B5-4AD9-8B32-D423BE8D41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375560"/>
        <c:axId val="640374248"/>
      </c:barChart>
      <c:catAx>
        <c:axId val="64037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4248"/>
        <c:crosses val="autoZero"/>
        <c:auto val="1"/>
        <c:lblAlgn val="ctr"/>
        <c:lblOffset val="100"/>
        <c:noMultiLvlLbl val="0"/>
      </c:catAx>
      <c:valAx>
        <c:axId val="640374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0375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9.xml"/><Relationship Id="rId2" Type="http://schemas.openxmlformats.org/officeDocument/2006/relationships/chart" Target="../charts/chart88.xml"/><Relationship Id="rId1" Type="http://schemas.openxmlformats.org/officeDocument/2006/relationships/chart" Target="../charts/chart8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2.xml"/><Relationship Id="rId2" Type="http://schemas.openxmlformats.org/officeDocument/2006/relationships/chart" Target="../charts/chart91.xml"/><Relationship Id="rId1" Type="http://schemas.openxmlformats.org/officeDocument/2006/relationships/chart" Target="../charts/chart9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12" Type="http://schemas.openxmlformats.org/officeDocument/2006/relationships/chart" Target="../charts/chart24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chart" Target="../charts/chart23.xml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12" Type="http://schemas.openxmlformats.org/officeDocument/2006/relationships/chart" Target="../charts/chart36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11" Type="http://schemas.openxmlformats.org/officeDocument/2006/relationships/chart" Target="../charts/chart35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4.xml"/><Relationship Id="rId3" Type="http://schemas.openxmlformats.org/officeDocument/2006/relationships/chart" Target="../charts/chart39.xml"/><Relationship Id="rId7" Type="http://schemas.openxmlformats.org/officeDocument/2006/relationships/chart" Target="../charts/chart43.xml"/><Relationship Id="rId12" Type="http://schemas.openxmlformats.org/officeDocument/2006/relationships/chart" Target="../charts/chart48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11" Type="http://schemas.openxmlformats.org/officeDocument/2006/relationships/chart" Target="../charts/chart47.xml"/><Relationship Id="rId5" Type="http://schemas.openxmlformats.org/officeDocument/2006/relationships/chart" Target="../charts/chart41.xml"/><Relationship Id="rId10" Type="http://schemas.openxmlformats.org/officeDocument/2006/relationships/chart" Target="../charts/chart46.xml"/><Relationship Id="rId4" Type="http://schemas.openxmlformats.org/officeDocument/2006/relationships/chart" Target="../charts/chart40.xml"/><Relationship Id="rId9" Type="http://schemas.openxmlformats.org/officeDocument/2006/relationships/chart" Target="../charts/chart4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6.xml"/><Relationship Id="rId3" Type="http://schemas.openxmlformats.org/officeDocument/2006/relationships/chart" Target="../charts/chart51.xml"/><Relationship Id="rId7" Type="http://schemas.openxmlformats.org/officeDocument/2006/relationships/chart" Target="../charts/chart55.xml"/><Relationship Id="rId12" Type="http://schemas.openxmlformats.org/officeDocument/2006/relationships/chart" Target="../charts/chart60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chart" Target="../charts/chart54.xml"/><Relationship Id="rId11" Type="http://schemas.openxmlformats.org/officeDocument/2006/relationships/chart" Target="../charts/chart59.xml"/><Relationship Id="rId5" Type="http://schemas.openxmlformats.org/officeDocument/2006/relationships/chart" Target="../charts/chart53.xml"/><Relationship Id="rId10" Type="http://schemas.openxmlformats.org/officeDocument/2006/relationships/chart" Target="../charts/chart58.xml"/><Relationship Id="rId4" Type="http://schemas.openxmlformats.org/officeDocument/2006/relationships/chart" Target="../charts/chart52.xml"/><Relationship Id="rId9" Type="http://schemas.openxmlformats.org/officeDocument/2006/relationships/chart" Target="../charts/chart57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8.xml"/><Relationship Id="rId3" Type="http://schemas.openxmlformats.org/officeDocument/2006/relationships/chart" Target="../charts/chart63.xml"/><Relationship Id="rId7" Type="http://schemas.openxmlformats.org/officeDocument/2006/relationships/chart" Target="../charts/chart67.xml"/><Relationship Id="rId12" Type="http://schemas.openxmlformats.org/officeDocument/2006/relationships/chart" Target="../charts/chart72.xml"/><Relationship Id="rId2" Type="http://schemas.openxmlformats.org/officeDocument/2006/relationships/chart" Target="../charts/chart62.xml"/><Relationship Id="rId1" Type="http://schemas.openxmlformats.org/officeDocument/2006/relationships/chart" Target="../charts/chart61.xml"/><Relationship Id="rId6" Type="http://schemas.openxmlformats.org/officeDocument/2006/relationships/chart" Target="../charts/chart66.xml"/><Relationship Id="rId11" Type="http://schemas.openxmlformats.org/officeDocument/2006/relationships/chart" Target="../charts/chart71.xml"/><Relationship Id="rId5" Type="http://schemas.openxmlformats.org/officeDocument/2006/relationships/chart" Target="../charts/chart65.xml"/><Relationship Id="rId10" Type="http://schemas.openxmlformats.org/officeDocument/2006/relationships/chart" Target="../charts/chart70.xml"/><Relationship Id="rId4" Type="http://schemas.openxmlformats.org/officeDocument/2006/relationships/chart" Target="../charts/chart64.xml"/><Relationship Id="rId9" Type="http://schemas.openxmlformats.org/officeDocument/2006/relationships/chart" Target="../charts/chart6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5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0.xml"/><Relationship Id="rId2" Type="http://schemas.openxmlformats.org/officeDocument/2006/relationships/chart" Target="../charts/chart79.xml"/><Relationship Id="rId1" Type="http://schemas.openxmlformats.org/officeDocument/2006/relationships/chart" Target="../charts/chart7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3.xml"/><Relationship Id="rId2" Type="http://schemas.openxmlformats.org/officeDocument/2006/relationships/chart" Target="../charts/chart82.xml"/><Relationship Id="rId1" Type="http://schemas.openxmlformats.org/officeDocument/2006/relationships/chart" Target="../charts/chart8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</xdr:row>
      <xdr:rowOff>35923</xdr:rowOff>
    </xdr:from>
    <xdr:to>
      <xdr:col>29</xdr:col>
      <xdr:colOff>72502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129540</xdr:colOff>
      <xdr:row>3</xdr:row>
      <xdr:rowOff>45720</xdr:rowOff>
    </xdr:from>
    <xdr:to>
      <xdr:col>35</xdr:col>
      <xdr:colOff>202042</xdr:colOff>
      <xdr:row>14</xdr:row>
      <xdr:rowOff>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259080</xdr:colOff>
      <xdr:row>3</xdr:row>
      <xdr:rowOff>38100</xdr:rowOff>
    </xdr:from>
    <xdr:to>
      <xdr:col>41</xdr:col>
      <xdr:colOff>331582</xdr:colOff>
      <xdr:row>14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388620</xdr:colOff>
      <xdr:row>3</xdr:row>
      <xdr:rowOff>53340</xdr:rowOff>
    </xdr:from>
    <xdr:to>
      <xdr:col>47</xdr:col>
      <xdr:colOff>461122</xdr:colOff>
      <xdr:row>13</xdr:row>
      <xdr:rowOff>171450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0</xdr:colOff>
      <xdr:row>3</xdr:row>
      <xdr:rowOff>0</xdr:rowOff>
    </xdr:from>
    <xdr:to>
      <xdr:col>54</xdr:col>
      <xdr:colOff>72502</xdr:colOff>
      <xdr:row>14</xdr:row>
      <xdr:rowOff>9525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54</xdr:col>
      <xdr:colOff>190500</xdr:colOff>
      <xdr:row>3</xdr:row>
      <xdr:rowOff>7620</xdr:rowOff>
    </xdr:from>
    <xdr:to>
      <xdr:col>60</xdr:col>
      <xdr:colOff>263002</xdr:colOff>
      <xdr:row>14</xdr:row>
      <xdr:rowOff>9525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19</xdr:row>
      <xdr:rowOff>0</xdr:rowOff>
    </xdr:from>
    <xdr:to>
      <xdr:col>29</xdr:col>
      <xdr:colOff>72502</xdr:colOff>
      <xdr:row>30</xdr:row>
      <xdr:rowOff>175260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121920</xdr:colOff>
      <xdr:row>19</xdr:row>
      <xdr:rowOff>7620</xdr:rowOff>
    </xdr:from>
    <xdr:to>
      <xdr:col>35</xdr:col>
      <xdr:colOff>194422</xdr:colOff>
      <xdr:row>30</xdr:row>
      <xdr:rowOff>160020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35</xdr:col>
      <xdr:colOff>266700</xdr:colOff>
      <xdr:row>18</xdr:row>
      <xdr:rowOff>251460</xdr:rowOff>
    </xdr:from>
    <xdr:to>
      <xdr:col>41</xdr:col>
      <xdr:colOff>339202</xdr:colOff>
      <xdr:row>31</xdr:row>
      <xdr:rowOff>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42</xdr:col>
      <xdr:colOff>0</xdr:colOff>
      <xdr:row>19</xdr:row>
      <xdr:rowOff>0</xdr:rowOff>
    </xdr:from>
    <xdr:to>
      <xdr:col>48</xdr:col>
      <xdr:colOff>72502</xdr:colOff>
      <xdr:row>31</xdr:row>
      <xdr:rowOff>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48</xdr:col>
      <xdr:colOff>220980</xdr:colOff>
      <xdr:row>18</xdr:row>
      <xdr:rowOff>236220</xdr:rowOff>
    </xdr:from>
    <xdr:to>
      <xdr:col>54</xdr:col>
      <xdr:colOff>293482</xdr:colOff>
      <xdr:row>30</xdr:row>
      <xdr:rowOff>175260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54</xdr:col>
      <xdr:colOff>449580</xdr:colOff>
      <xdr:row>18</xdr:row>
      <xdr:rowOff>259080</xdr:rowOff>
    </xdr:from>
    <xdr:to>
      <xdr:col>60</xdr:col>
      <xdr:colOff>522082</xdr:colOff>
      <xdr:row>30</xdr:row>
      <xdr:rowOff>175260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2</xdr:row>
      <xdr:rowOff>0</xdr:rowOff>
    </xdr:from>
    <xdr:to>
      <xdr:col>7</xdr:col>
      <xdr:colOff>647700</xdr:colOff>
      <xdr:row>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1</xdr:row>
      <xdr:rowOff>41909</xdr:rowOff>
    </xdr:from>
    <xdr:to>
      <xdr:col>17</xdr:col>
      <xdr:colOff>514350</xdr:colOff>
      <xdr:row>20</xdr:row>
      <xdr:rowOff>102869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7620</xdr:colOff>
      <xdr:row>21</xdr:row>
      <xdr:rowOff>167640</xdr:rowOff>
    </xdr:from>
    <xdr:to>
      <xdr:col>17</xdr:col>
      <xdr:colOff>424815</xdr:colOff>
      <xdr:row>41</xdr:row>
      <xdr:rowOff>55245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358140</xdr:colOff>
      <xdr:row>12</xdr:row>
      <xdr:rowOff>47625</xdr:rowOff>
    </xdr:from>
    <xdr:to>
      <xdr:col>11</xdr:col>
      <xdr:colOff>643890</xdr:colOff>
      <xdr:row>13</xdr:row>
      <xdr:rowOff>148590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10424160" y="232600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12</xdr:col>
      <xdr:colOff>695325</xdr:colOff>
      <xdr:row>10</xdr:row>
      <xdr:rowOff>26670</xdr:rowOff>
    </xdr:from>
    <xdr:to>
      <xdr:col>13</xdr:col>
      <xdr:colOff>203835</xdr:colOff>
      <xdr:row>11</xdr:row>
      <xdr:rowOff>127635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>
        <a:xfrm>
          <a:off x="12262485" y="195453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15</xdr:col>
      <xdr:colOff>407670</xdr:colOff>
      <xdr:row>7</xdr:row>
      <xdr:rowOff>53340</xdr:rowOff>
    </xdr:from>
    <xdr:to>
      <xdr:col>16</xdr:col>
      <xdr:colOff>22860</xdr:colOff>
      <xdr:row>8</xdr:row>
      <xdr:rowOff>154305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14093190" y="145542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1443990</xdr:colOff>
      <xdr:row>30</xdr:row>
      <xdr:rowOff>175260</xdr:rowOff>
    </xdr:from>
    <xdr:to>
      <xdr:col>12</xdr:col>
      <xdr:colOff>228600</xdr:colOff>
      <xdr:row>32</xdr:row>
      <xdr:rowOff>85725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/>
      </xdr:nvSpPr>
      <xdr:spPr>
        <a:xfrm>
          <a:off x="11510010" y="560832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13</xdr:col>
      <xdr:colOff>287655</xdr:colOff>
      <xdr:row>32</xdr:row>
      <xdr:rowOff>17145</xdr:rowOff>
    </xdr:from>
    <xdr:to>
      <xdr:col>13</xdr:col>
      <xdr:colOff>573405</xdr:colOff>
      <xdr:row>33</xdr:row>
      <xdr:rowOff>110490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/>
      </xdr:nvSpPr>
      <xdr:spPr>
        <a:xfrm>
          <a:off x="12632055" y="581596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15</xdr:col>
      <xdr:colOff>529590</xdr:colOff>
      <xdr:row>34</xdr:row>
      <xdr:rowOff>13335</xdr:rowOff>
    </xdr:from>
    <xdr:to>
      <xdr:col>16</xdr:col>
      <xdr:colOff>144780</xdr:colOff>
      <xdr:row>35</xdr:row>
      <xdr:rowOff>114300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/>
      </xdr:nvSpPr>
      <xdr:spPr>
        <a:xfrm>
          <a:off x="14215110" y="617791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883920</xdr:colOff>
      <xdr:row>11</xdr:row>
      <xdr:rowOff>40005</xdr:rowOff>
    </xdr:from>
    <xdr:to>
      <xdr:col>11</xdr:col>
      <xdr:colOff>1169670</xdr:colOff>
      <xdr:row>12</xdr:row>
      <xdr:rowOff>140970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 txBox="1"/>
      </xdr:nvSpPr>
      <xdr:spPr>
        <a:xfrm>
          <a:off x="10949940" y="214312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13</xdr:col>
      <xdr:colOff>480060</xdr:colOff>
      <xdr:row>7</xdr:row>
      <xdr:rowOff>1905</xdr:rowOff>
    </xdr:from>
    <xdr:to>
      <xdr:col>14</xdr:col>
      <xdr:colOff>95250</xdr:colOff>
      <xdr:row>8</xdr:row>
      <xdr:rowOff>102870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12824460" y="140398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16</xdr:col>
      <xdr:colOff>243840</xdr:colOff>
      <xdr:row>3</xdr:row>
      <xdr:rowOff>123825</xdr:rowOff>
    </xdr:from>
    <xdr:to>
      <xdr:col>16</xdr:col>
      <xdr:colOff>529590</xdr:colOff>
      <xdr:row>5</xdr:row>
      <xdr:rowOff>49530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14599920" y="82486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994410</xdr:colOff>
      <xdr:row>24</xdr:row>
      <xdr:rowOff>30480</xdr:rowOff>
    </xdr:from>
    <xdr:to>
      <xdr:col>11</xdr:col>
      <xdr:colOff>1280160</xdr:colOff>
      <xdr:row>25</xdr:row>
      <xdr:rowOff>131445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 txBox="1"/>
      </xdr:nvSpPr>
      <xdr:spPr>
        <a:xfrm>
          <a:off x="11060430" y="441198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14</xdr:col>
      <xdr:colOff>66675</xdr:colOff>
      <xdr:row>33</xdr:row>
      <xdr:rowOff>40005</xdr:rowOff>
    </xdr:from>
    <xdr:to>
      <xdr:col>14</xdr:col>
      <xdr:colOff>352425</xdr:colOff>
      <xdr:row>34</xdr:row>
      <xdr:rowOff>133350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 txBox="1"/>
      </xdr:nvSpPr>
      <xdr:spPr>
        <a:xfrm>
          <a:off x="13081635" y="602170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16</xdr:col>
      <xdr:colOff>278130</xdr:colOff>
      <xdr:row>35</xdr:row>
      <xdr:rowOff>5715</xdr:rowOff>
    </xdr:from>
    <xdr:to>
      <xdr:col>16</xdr:col>
      <xdr:colOff>563880</xdr:colOff>
      <xdr:row>36</xdr:row>
      <xdr:rowOff>106680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SpPr txBox="1"/>
      </xdr:nvSpPr>
      <xdr:spPr>
        <a:xfrm>
          <a:off x="14634210" y="634555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GB">
            <a:effectLst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2</xdr:row>
      <xdr:rowOff>0</xdr:rowOff>
    </xdr:from>
    <xdr:to>
      <xdr:col>7</xdr:col>
      <xdr:colOff>647700</xdr:colOff>
      <xdr:row>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1</xdr:row>
      <xdr:rowOff>41909</xdr:rowOff>
    </xdr:from>
    <xdr:to>
      <xdr:col>17</xdr:col>
      <xdr:colOff>514350</xdr:colOff>
      <xdr:row>20</xdr:row>
      <xdr:rowOff>102869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7620</xdr:colOff>
      <xdr:row>21</xdr:row>
      <xdr:rowOff>167640</xdr:rowOff>
    </xdr:from>
    <xdr:to>
      <xdr:col>17</xdr:col>
      <xdr:colOff>424815</xdr:colOff>
      <xdr:row>41</xdr:row>
      <xdr:rowOff>55245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358140</xdr:colOff>
      <xdr:row>12</xdr:row>
      <xdr:rowOff>115358</xdr:rowOff>
    </xdr:from>
    <xdr:to>
      <xdr:col>11</xdr:col>
      <xdr:colOff>643890</xdr:colOff>
      <xdr:row>14</xdr:row>
      <xdr:rowOff>38523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10416540" y="2418291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883920</xdr:colOff>
      <xdr:row>11</xdr:row>
      <xdr:rowOff>40005</xdr:rowOff>
    </xdr:from>
    <xdr:to>
      <xdr:col>11</xdr:col>
      <xdr:colOff>1169670</xdr:colOff>
      <xdr:row>12</xdr:row>
      <xdr:rowOff>140970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 txBox="1"/>
      </xdr:nvSpPr>
      <xdr:spPr>
        <a:xfrm>
          <a:off x="10949940" y="214312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12</xdr:col>
      <xdr:colOff>38100</xdr:colOff>
      <xdr:row>3</xdr:row>
      <xdr:rowOff>121920</xdr:rowOff>
    </xdr:from>
    <xdr:to>
      <xdr:col>12</xdr:col>
      <xdr:colOff>53340</xdr:colOff>
      <xdr:row>17</xdr:row>
      <xdr:rowOff>104775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>
          <a:off x="11605260" y="822960"/>
          <a:ext cx="15240" cy="243649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617220</xdr:colOff>
      <xdr:row>3</xdr:row>
      <xdr:rowOff>121920</xdr:rowOff>
    </xdr:from>
    <xdr:to>
      <xdr:col>14</xdr:col>
      <xdr:colOff>630555</xdr:colOff>
      <xdr:row>17</xdr:row>
      <xdr:rowOff>78105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>
          <a:off x="13632180" y="822960"/>
          <a:ext cx="13335" cy="24098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617220</xdr:colOff>
      <xdr:row>24</xdr:row>
      <xdr:rowOff>114300</xdr:rowOff>
    </xdr:from>
    <xdr:to>
      <xdr:col>12</xdr:col>
      <xdr:colOff>617220</xdr:colOff>
      <xdr:row>38</xdr:row>
      <xdr:rowOff>59055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>
          <a:off x="12184380" y="4495800"/>
          <a:ext cx="0" cy="24441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89535</xdr:colOff>
      <xdr:row>24</xdr:row>
      <xdr:rowOff>121920</xdr:rowOff>
    </xdr:from>
    <xdr:to>
      <xdr:col>15</xdr:col>
      <xdr:colOff>99060</xdr:colOff>
      <xdr:row>38</xdr:row>
      <xdr:rowOff>55245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flipH="1">
          <a:off x="13775055" y="4503420"/>
          <a:ext cx="9525" cy="243268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1010073</xdr:colOff>
      <xdr:row>24</xdr:row>
      <xdr:rowOff>93345</xdr:rowOff>
    </xdr:from>
    <xdr:to>
      <xdr:col>11</xdr:col>
      <xdr:colOff>1295823</xdr:colOff>
      <xdr:row>26</xdr:row>
      <xdr:rowOff>16510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SpPr txBox="1"/>
      </xdr:nvSpPr>
      <xdr:spPr>
        <a:xfrm>
          <a:off x="11068473" y="4529878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11</xdr:col>
      <xdr:colOff>1434253</xdr:colOff>
      <xdr:row>30</xdr:row>
      <xdr:rowOff>161925</xdr:rowOff>
    </xdr:from>
    <xdr:to>
      <xdr:col>12</xdr:col>
      <xdr:colOff>221403</xdr:colOff>
      <xdr:row>32</xdr:row>
      <xdr:rowOff>68156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SpPr txBox="1"/>
      </xdr:nvSpPr>
      <xdr:spPr>
        <a:xfrm>
          <a:off x="11492653" y="5665258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12</xdr:col>
      <xdr:colOff>705273</xdr:colOff>
      <xdr:row>10</xdr:row>
      <xdr:rowOff>110278</xdr:rowOff>
    </xdr:from>
    <xdr:to>
      <xdr:col>13</xdr:col>
      <xdr:colOff>212090</xdr:colOff>
      <xdr:row>12</xdr:row>
      <xdr:rowOff>33443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SpPr txBox="1"/>
      </xdr:nvSpPr>
      <xdr:spPr>
        <a:xfrm>
          <a:off x="12262273" y="2057611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13</xdr:col>
      <xdr:colOff>452120</xdr:colOff>
      <xdr:row>6</xdr:row>
      <xdr:rowOff>153458</xdr:rowOff>
    </xdr:from>
    <xdr:to>
      <xdr:col>14</xdr:col>
      <xdr:colOff>69003</xdr:colOff>
      <xdr:row>8</xdr:row>
      <xdr:rowOff>76623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 txBox="1"/>
      </xdr:nvSpPr>
      <xdr:spPr>
        <a:xfrm>
          <a:off x="12788053" y="1389591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13</xdr:col>
      <xdr:colOff>256540</xdr:colOff>
      <xdr:row>31</xdr:row>
      <xdr:rowOff>144145</xdr:rowOff>
    </xdr:from>
    <xdr:to>
      <xdr:col>13</xdr:col>
      <xdr:colOff>542290</xdr:colOff>
      <xdr:row>33</xdr:row>
      <xdr:rowOff>50377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 txBox="1"/>
      </xdr:nvSpPr>
      <xdr:spPr>
        <a:xfrm>
          <a:off x="12592473" y="5833745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14</xdr:col>
      <xdr:colOff>71119</xdr:colOff>
      <xdr:row>33</xdr:row>
      <xdr:rowOff>60325</xdr:rowOff>
    </xdr:from>
    <xdr:to>
      <xdr:col>14</xdr:col>
      <xdr:colOff>356869</xdr:colOff>
      <xdr:row>34</xdr:row>
      <xdr:rowOff>152823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 txBox="1"/>
      </xdr:nvSpPr>
      <xdr:spPr>
        <a:xfrm>
          <a:off x="13075919" y="6122458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15</xdr:col>
      <xdr:colOff>383539</xdr:colOff>
      <xdr:row>7</xdr:row>
      <xdr:rowOff>118744</xdr:rowOff>
    </xdr:from>
    <xdr:to>
      <xdr:col>16</xdr:col>
      <xdr:colOff>423</xdr:colOff>
      <xdr:row>9</xdr:row>
      <xdr:rowOff>41909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 txBox="1"/>
      </xdr:nvSpPr>
      <xdr:spPr>
        <a:xfrm>
          <a:off x="14057206" y="1532677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16</xdr:col>
      <xdr:colOff>257387</xdr:colOff>
      <xdr:row>3</xdr:row>
      <xdr:rowOff>77257</xdr:rowOff>
    </xdr:from>
    <xdr:to>
      <xdr:col>16</xdr:col>
      <xdr:colOff>543137</xdr:colOff>
      <xdr:row>5</xdr:row>
      <xdr:rowOff>422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 txBox="1"/>
      </xdr:nvSpPr>
      <xdr:spPr>
        <a:xfrm>
          <a:off x="14599920" y="779990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15</xdr:col>
      <xdr:colOff>434339</xdr:colOff>
      <xdr:row>34</xdr:row>
      <xdr:rowOff>93345</xdr:rowOff>
    </xdr:from>
    <xdr:to>
      <xdr:col>16</xdr:col>
      <xdr:colOff>51223</xdr:colOff>
      <xdr:row>36</xdr:row>
      <xdr:rowOff>16510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 txBox="1"/>
      </xdr:nvSpPr>
      <xdr:spPr>
        <a:xfrm>
          <a:off x="14108006" y="6341745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16</xdr:col>
      <xdr:colOff>248920</xdr:colOff>
      <xdr:row>35</xdr:row>
      <xdr:rowOff>111124</xdr:rowOff>
    </xdr:from>
    <xdr:to>
      <xdr:col>16</xdr:col>
      <xdr:colOff>534670</xdr:colOff>
      <xdr:row>37</xdr:row>
      <xdr:rowOff>25822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 txBox="1"/>
      </xdr:nvSpPr>
      <xdr:spPr>
        <a:xfrm>
          <a:off x="14591453" y="6537324"/>
          <a:ext cx="285750" cy="2787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2</xdr:row>
      <xdr:rowOff>0</xdr:rowOff>
    </xdr:from>
    <xdr:to>
      <xdr:col>7</xdr:col>
      <xdr:colOff>647700</xdr:colOff>
      <xdr:row>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8255</xdr:colOff>
      <xdr:row>1</xdr:row>
      <xdr:rowOff>167005</xdr:rowOff>
    </xdr:from>
    <xdr:to>
      <xdr:col>16</xdr:col>
      <xdr:colOff>250825</xdr:colOff>
      <xdr:row>17</xdr:row>
      <xdr:rowOff>109220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23495</xdr:colOff>
      <xdr:row>18</xdr:row>
      <xdr:rowOff>111760</xdr:rowOff>
    </xdr:from>
    <xdr:to>
      <xdr:col>16</xdr:col>
      <xdr:colOff>266065</xdr:colOff>
      <xdr:row>34</xdr:row>
      <xdr:rowOff>50800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1365250</xdr:colOff>
      <xdr:row>9</xdr:row>
      <xdr:rowOff>95250</xdr:rowOff>
    </xdr:from>
    <xdr:to>
      <xdr:col>11</xdr:col>
      <xdr:colOff>1466850</xdr:colOff>
      <xdr:row>10</xdr:row>
      <xdr:rowOff>127635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/>
      </xdr:nvSpPr>
      <xdr:spPr>
        <a:xfrm>
          <a:off x="10306050" y="186690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12</xdr:col>
      <xdr:colOff>5080</xdr:colOff>
      <xdr:row>9</xdr:row>
      <xdr:rowOff>95251</xdr:rowOff>
    </xdr:from>
    <xdr:to>
      <xdr:col>12</xdr:col>
      <xdr:colOff>190500</xdr:colOff>
      <xdr:row>10</xdr:row>
      <xdr:rowOff>101601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/>
      </xdr:nvSpPr>
      <xdr:spPr>
        <a:xfrm>
          <a:off x="10444480" y="186690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11</xdr:col>
      <xdr:colOff>1377950</xdr:colOff>
      <xdr:row>22</xdr:row>
      <xdr:rowOff>82550</xdr:rowOff>
    </xdr:from>
    <xdr:to>
      <xdr:col>11</xdr:col>
      <xdr:colOff>1479550</xdr:colOff>
      <xdr:row>23</xdr:row>
      <xdr:rowOff>114935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 txBox="1"/>
      </xdr:nvSpPr>
      <xdr:spPr>
        <a:xfrm>
          <a:off x="10318750" y="416560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12</xdr:col>
      <xdr:colOff>49530</xdr:colOff>
      <xdr:row>24</xdr:row>
      <xdr:rowOff>146051</xdr:rowOff>
    </xdr:from>
    <xdr:to>
      <xdr:col>12</xdr:col>
      <xdr:colOff>234950</xdr:colOff>
      <xdr:row>25</xdr:row>
      <xdr:rowOff>152401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 txBox="1"/>
      </xdr:nvSpPr>
      <xdr:spPr>
        <a:xfrm>
          <a:off x="10488930" y="458470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12</xdr:col>
      <xdr:colOff>501650</xdr:colOff>
      <xdr:row>24</xdr:row>
      <xdr:rowOff>25400</xdr:rowOff>
    </xdr:from>
    <xdr:to>
      <xdr:col>12</xdr:col>
      <xdr:colOff>603250</xdr:colOff>
      <xdr:row>25</xdr:row>
      <xdr:rowOff>57785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/>
      </xdr:nvSpPr>
      <xdr:spPr>
        <a:xfrm>
          <a:off x="10941050" y="446405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12</xdr:col>
      <xdr:colOff>684530</xdr:colOff>
      <xdr:row>25</xdr:row>
      <xdr:rowOff>139701</xdr:rowOff>
    </xdr:from>
    <xdr:to>
      <xdr:col>13</xdr:col>
      <xdr:colOff>95250</xdr:colOff>
      <xdr:row>26</xdr:row>
      <xdr:rowOff>146051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/>
      </xdr:nvSpPr>
      <xdr:spPr>
        <a:xfrm>
          <a:off x="11123930" y="475615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368300</xdr:colOff>
      <xdr:row>7</xdr:row>
      <xdr:rowOff>76200</xdr:rowOff>
    </xdr:from>
    <xdr:to>
      <xdr:col>13</xdr:col>
      <xdr:colOff>469900</xdr:colOff>
      <xdr:row>8</xdr:row>
      <xdr:rowOff>108585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/>
      </xdr:nvSpPr>
      <xdr:spPr>
        <a:xfrm>
          <a:off x="11582400" y="149225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506730</xdr:colOff>
      <xdr:row>7</xdr:row>
      <xdr:rowOff>76201</xdr:rowOff>
    </xdr:from>
    <xdr:to>
      <xdr:col>14</xdr:col>
      <xdr:colOff>19050</xdr:colOff>
      <xdr:row>8</xdr:row>
      <xdr:rowOff>82551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 txBox="1"/>
      </xdr:nvSpPr>
      <xdr:spPr>
        <a:xfrm>
          <a:off x="11720830" y="149225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368300</xdr:colOff>
      <xdr:row>26</xdr:row>
      <xdr:rowOff>6350</xdr:rowOff>
    </xdr:from>
    <xdr:to>
      <xdr:col>13</xdr:col>
      <xdr:colOff>469900</xdr:colOff>
      <xdr:row>27</xdr:row>
      <xdr:rowOff>38735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 txBox="1"/>
      </xdr:nvSpPr>
      <xdr:spPr>
        <a:xfrm>
          <a:off x="11582400" y="480060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506730</xdr:colOff>
      <xdr:row>26</xdr:row>
      <xdr:rowOff>95251</xdr:rowOff>
    </xdr:from>
    <xdr:to>
      <xdr:col>14</xdr:col>
      <xdr:colOff>19050</xdr:colOff>
      <xdr:row>27</xdr:row>
      <xdr:rowOff>101601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 txBox="1"/>
      </xdr:nvSpPr>
      <xdr:spPr>
        <a:xfrm>
          <a:off x="11720830" y="488950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14</xdr:col>
      <xdr:colOff>304800</xdr:colOff>
      <xdr:row>7</xdr:row>
      <xdr:rowOff>0</xdr:rowOff>
    </xdr:from>
    <xdr:to>
      <xdr:col>14</xdr:col>
      <xdr:colOff>406400</xdr:colOff>
      <xdr:row>8</xdr:row>
      <xdr:rowOff>32385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/>
      </xdr:nvSpPr>
      <xdr:spPr>
        <a:xfrm>
          <a:off x="12192000" y="141605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14</xdr:col>
      <xdr:colOff>494030</xdr:colOff>
      <xdr:row>7</xdr:row>
      <xdr:rowOff>146051</xdr:rowOff>
    </xdr:from>
    <xdr:to>
      <xdr:col>15</xdr:col>
      <xdr:colOff>6350</xdr:colOff>
      <xdr:row>8</xdr:row>
      <xdr:rowOff>152401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/>
      </xdr:nvSpPr>
      <xdr:spPr>
        <a:xfrm>
          <a:off x="12381230" y="156210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14</xdr:col>
      <xdr:colOff>335280</xdr:colOff>
      <xdr:row>26</xdr:row>
      <xdr:rowOff>69851</xdr:rowOff>
    </xdr:from>
    <xdr:to>
      <xdr:col>14</xdr:col>
      <xdr:colOff>436880</xdr:colOff>
      <xdr:row>27</xdr:row>
      <xdr:rowOff>102236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/>
      </xdr:nvSpPr>
      <xdr:spPr>
        <a:xfrm>
          <a:off x="12222480" y="4864101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14</xdr:col>
      <xdr:colOff>505460</xdr:colOff>
      <xdr:row>27</xdr:row>
      <xdr:rowOff>2</xdr:rowOff>
    </xdr:from>
    <xdr:to>
      <xdr:col>15</xdr:col>
      <xdr:colOff>17780</xdr:colOff>
      <xdr:row>28</xdr:row>
      <xdr:rowOff>6352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/>
      </xdr:nvSpPr>
      <xdr:spPr>
        <a:xfrm>
          <a:off x="12392660" y="4972052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15</xdr:col>
      <xdr:colOff>273050</xdr:colOff>
      <xdr:row>3</xdr:row>
      <xdr:rowOff>158750</xdr:rowOff>
    </xdr:from>
    <xdr:to>
      <xdr:col>15</xdr:col>
      <xdr:colOff>374650</xdr:colOff>
      <xdr:row>5</xdr:row>
      <xdr:rowOff>13335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/>
      </xdr:nvSpPr>
      <xdr:spPr>
        <a:xfrm>
          <a:off x="12833350" y="86360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15</xdr:col>
      <xdr:colOff>462280</xdr:colOff>
      <xdr:row>5</xdr:row>
      <xdr:rowOff>101601</xdr:rowOff>
    </xdr:from>
    <xdr:to>
      <xdr:col>15</xdr:col>
      <xdr:colOff>647700</xdr:colOff>
      <xdr:row>6</xdr:row>
      <xdr:rowOff>107951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SpPr txBox="1"/>
      </xdr:nvSpPr>
      <xdr:spPr>
        <a:xfrm>
          <a:off x="13022580" y="116205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  <xdr:twoCellAnchor>
    <xdr:from>
      <xdr:col>15</xdr:col>
      <xdr:colOff>279400</xdr:colOff>
      <xdr:row>27</xdr:row>
      <xdr:rowOff>76200</xdr:rowOff>
    </xdr:from>
    <xdr:to>
      <xdr:col>15</xdr:col>
      <xdr:colOff>381000</xdr:colOff>
      <xdr:row>28</xdr:row>
      <xdr:rowOff>108585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SpPr txBox="1"/>
      </xdr:nvSpPr>
      <xdr:spPr>
        <a:xfrm>
          <a:off x="12839700" y="5048250"/>
          <a:ext cx="101600" cy="210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 sz="1000">
            <a:effectLst/>
          </a:endParaRPr>
        </a:p>
      </xdr:txBody>
    </xdr:sp>
    <xdr:clientData/>
  </xdr:twoCellAnchor>
  <xdr:twoCellAnchor>
    <xdr:from>
      <xdr:col>15</xdr:col>
      <xdr:colOff>462280</xdr:colOff>
      <xdr:row>27</xdr:row>
      <xdr:rowOff>88901</xdr:rowOff>
    </xdr:from>
    <xdr:to>
      <xdr:col>15</xdr:col>
      <xdr:colOff>647700</xdr:colOff>
      <xdr:row>28</xdr:row>
      <xdr:rowOff>95251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SpPr txBox="1"/>
      </xdr:nvSpPr>
      <xdr:spPr>
        <a:xfrm>
          <a:off x="13022580" y="5060951"/>
          <a:ext cx="185420" cy="184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 sz="1000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</xdr:row>
      <xdr:rowOff>35923</xdr:rowOff>
    </xdr:from>
    <xdr:to>
      <xdr:col>29</xdr:col>
      <xdr:colOff>72502</xdr:colOff>
      <xdr:row>14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129540</xdr:colOff>
      <xdr:row>3</xdr:row>
      <xdr:rowOff>45720</xdr:rowOff>
    </xdr:from>
    <xdr:to>
      <xdr:col>35</xdr:col>
      <xdr:colOff>202042</xdr:colOff>
      <xdr:row>14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259080</xdr:colOff>
      <xdr:row>3</xdr:row>
      <xdr:rowOff>38100</xdr:rowOff>
    </xdr:from>
    <xdr:to>
      <xdr:col>41</xdr:col>
      <xdr:colOff>331582</xdr:colOff>
      <xdr:row>14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388620</xdr:colOff>
      <xdr:row>3</xdr:row>
      <xdr:rowOff>53339</xdr:rowOff>
    </xdr:from>
    <xdr:to>
      <xdr:col>47</xdr:col>
      <xdr:colOff>461122</xdr:colOff>
      <xdr:row>13</xdr:row>
      <xdr:rowOff>152399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0</xdr:colOff>
      <xdr:row>2</xdr:row>
      <xdr:rowOff>190499</xdr:rowOff>
    </xdr:from>
    <xdr:to>
      <xdr:col>54</xdr:col>
      <xdr:colOff>72502</xdr:colOff>
      <xdr:row>13</xdr:row>
      <xdr:rowOff>171449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54</xdr:col>
      <xdr:colOff>190500</xdr:colOff>
      <xdr:row>3</xdr:row>
      <xdr:rowOff>7620</xdr:rowOff>
    </xdr:from>
    <xdr:to>
      <xdr:col>60</xdr:col>
      <xdr:colOff>263002</xdr:colOff>
      <xdr:row>14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17</xdr:row>
      <xdr:rowOff>266699</xdr:rowOff>
    </xdr:from>
    <xdr:to>
      <xdr:col>29</xdr:col>
      <xdr:colOff>72502</xdr:colOff>
      <xdr:row>28</xdr:row>
      <xdr:rowOff>9524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121920</xdr:colOff>
      <xdr:row>18</xdr:row>
      <xdr:rowOff>7620</xdr:rowOff>
    </xdr:from>
    <xdr:to>
      <xdr:col>35</xdr:col>
      <xdr:colOff>194422</xdr:colOff>
      <xdr:row>28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35</xdr:col>
      <xdr:colOff>266700</xdr:colOff>
      <xdr:row>17</xdr:row>
      <xdr:rowOff>251459</xdr:rowOff>
    </xdr:from>
    <xdr:to>
      <xdr:col>41</xdr:col>
      <xdr:colOff>339202</xdr:colOff>
      <xdr:row>28</xdr:row>
      <xdr:rowOff>9524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42</xdr:col>
      <xdr:colOff>0</xdr:colOff>
      <xdr:row>17</xdr:row>
      <xdr:rowOff>266699</xdr:rowOff>
    </xdr:from>
    <xdr:to>
      <xdr:col>48</xdr:col>
      <xdr:colOff>72502</xdr:colOff>
      <xdr:row>27</xdr:row>
      <xdr:rowOff>180974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48</xdr:col>
      <xdr:colOff>220980</xdr:colOff>
      <xdr:row>17</xdr:row>
      <xdr:rowOff>236220</xdr:rowOff>
    </xdr:from>
    <xdr:to>
      <xdr:col>54</xdr:col>
      <xdr:colOff>293482</xdr:colOff>
      <xdr:row>28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54</xdr:col>
      <xdr:colOff>449580</xdr:colOff>
      <xdr:row>17</xdr:row>
      <xdr:rowOff>259079</xdr:rowOff>
    </xdr:from>
    <xdr:to>
      <xdr:col>60</xdr:col>
      <xdr:colOff>522082</xdr:colOff>
      <xdr:row>28</xdr:row>
      <xdr:rowOff>9524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</xdr:row>
      <xdr:rowOff>35923</xdr:rowOff>
    </xdr:from>
    <xdr:to>
      <xdr:col>29</xdr:col>
      <xdr:colOff>72502</xdr:colOff>
      <xdr:row>13</xdr:row>
      <xdr:rowOff>78863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129540</xdr:colOff>
      <xdr:row>3</xdr:row>
      <xdr:rowOff>45720</xdr:rowOff>
    </xdr:from>
    <xdr:to>
      <xdr:col>35</xdr:col>
      <xdr:colOff>202042</xdr:colOff>
      <xdr:row>13</xdr:row>
      <xdr:rowOff>88660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259080</xdr:colOff>
      <xdr:row>3</xdr:row>
      <xdr:rowOff>38100</xdr:rowOff>
    </xdr:from>
    <xdr:to>
      <xdr:col>41</xdr:col>
      <xdr:colOff>331582</xdr:colOff>
      <xdr:row>13</xdr:row>
      <xdr:rowOff>81040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388620</xdr:colOff>
      <xdr:row>3</xdr:row>
      <xdr:rowOff>53340</xdr:rowOff>
    </xdr:from>
    <xdr:to>
      <xdr:col>47</xdr:col>
      <xdr:colOff>461122</xdr:colOff>
      <xdr:row>13</xdr:row>
      <xdr:rowOff>96280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0</xdr:colOff>
      <xdr:row>3</xdr:row>
      <xdr:rowOff>0</xdr:rowOff>
    </xdr:from>
    <xdr:to>
      <xdr:col>54</xdr:col>
      <xdr:colOff>72502</xdr:colOff>
      <xdr:row>13</xdr:row>
      <xdr:rowOff>42940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54</xdr:col>
      <xdr:colOff>190500</xdr:colOff>
      <xdr:row>3</xdr:row>
      <xdr:rowOff>7620</xdr:rowOff>
    </xdr:from>
    <xdr:to>
      <xdr:col>60</xdr:col>
      <xdr:colOff>263002</xdr:colOff>
      <xdr:row>13</xdr:row>
      <xdr:rowOff>50560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18</xdr:row>
      <xdr:rowOff>0</xdr:rowOff>
    </xdr:from>
    <xdr:to>
      <xdr:col>29</xdr:col>
      <xdr:colOff>72502</xdr:colOff>
      <xdr:row>30</xdr:row>
      <xdr:rowOff>19050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121920</xdr:colOff>
      <xdr:row>18</xdr:row>
      <xdr:rowOff>7620</xdr:rowOff>
    </xdr:from>
    <xdr:to>
      <xdr:col>35</xdr:col>
      <xdr:colOff>194422</xdr:colOff>
      <xdr:row>30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35</xdr:col>
      <xdr:colOff>266700</xdr:colOff>
      <xdr:row>17</xdr:row>
      <xdr:rowOff>251460</xdr:rowOff>
    </xdr:from>
    <xdr:to>
      <xdr:col>41</xdr:col>
      <xdr:colOff>339202</xdr:colOff>
      <xdr:row>30</xdr:row>
      <xdr:rowOff>28575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42</xdr:col>
      <xdr:colOff>0</xdr:colOff>
      <xdr:row>18</xdr:row>
      <xdr:rowOff>0</xdr:rowOff>
    </xdr:from>
    <xdr:to>
      <xdr:col>48</xdr:col>
      <xdr:colOff>72502</xdr:colOff>
      <xdr:row>29</xdr:row>
      <xdr:rowOff>180975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48</xdr:col>
      <xdr:colOff>220980</xdr:colOff>
      <xdr:row>17</xdr:row>
      <xdr:rowOff>236220</xdr:rowOff>
    </xdr:from>
    <xdr:to>
      <xdr:col>54</xdr:col>
      <xdr:colOff>293482</xdr:colOff>
      <xdr:row>30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54</xdr:col>
      <xdr:colOff>449580</xdr:colOff>
      <xdr:row>17</xdr:row>
      <xdr:rowOff>259080</xdr:rowOff>
    </xdr:from>
    <xdr:to>
      <xdr:col>60</xdr:col>
      <xdr:colOff>522082</xdr:colOff>
      <xdr:row>30</xdr:row>
      <xdr:rowOff>38100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</xdr:row>
      <xdr:rowOff>35923</xdr:rowOff>
    </xdr:from>
    <xdr:to>
      <xdr:col>29</xdr:col>
      <xdr:colOff>72502</xdr:colOff>
      <xdr:row>18</xdr:row>
      <xdr:rowOff>78863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129540</xdr:colOff>
      <xdr:row>3</xdr:row>
      <xdr:rowOff>45720</xdr:rowOff>
    </xdr:from>
    <xdr:to>
      <xdr:col>35</xdr:col>
      <xdr:colOff>202042</xdr:colOff>
      <xdr:row>18</xdr:row>
      <xdr:rowOff>88660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259080</xdr:colOff>
      <xdr:row>3</xdr:row>
      <xdr:rowOff>38100</xdr:rowOff>
    </xdr:from>
    <xdr:to>
      <xdr:col>41</xdr:col>
      <xdr:colOff>331582</xdr:colOff>
      <xdr:row>18</xdr:row>
      <xdr:rowOff>81040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388620</xdr:colOff>
      <xdr:row>3</xdr:row>
      <xdr:rowOff>53340</xdr:rowOff>
    </xdr:from>
    <xdr:to>
      <xdr:col>47</xdr:col>
      <xdr:colOff>461122</xdr:colOff>
      <xdr:row>18</xdr:row>
      <xdr:rowOff>96280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0</xdr:colOff>
      <xdr:row>3</xdr:row>
      <xdr:rowOff>0</xdr:rowOff>
    </xdr:from>
    <xdr:to>
      <xdr:col>54</xdr:col>
      <xdr:colOff>72502</xdr:colOff>
      <xdr:row>18</xdr:row>
      <xdr:rowOff>42940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54</xdr:col>
      <xdr:colOff>190500</xdr:colOff>
      <xdr:row>3</xdr:row>
      <xdr:rowOff>7620</xdr:rowOff>
    </xdr:from>
    <xdr:to>
      <xdr:col>60</xdr:col>
      <xdr:colOff>263002</xdr:colOff>
      <xdr:row>18</xdr:row>
      <xdr:rowOff>50560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23</xdr:row>
      <xdr:rowOff>0</xdr:rowOff>
    </xdr:from>
    <xdr:to>
      <xdr:col>29</xdr:col>
      <xdr:colOff>72502</xdr:colOff>
      <xdr:row>38</xdr:row>
      <xdr:rowOff>126760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121920</xdr:colOff>
      <xdr:row>23</xdr:row>
      <xdr:rowOff>7620</xdr:rowOff>
    </xdr:from>
    <xdr:to>
      <xdr:col>35</xdr:col>
      <xdr:colOff>194422</xdr:colOff>
      <xdr:row>38</xdr:row>
      <xdr:rowOff>134380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35</xdr:col>
      <xdr:colOff>266700</xdr:colOff>
      <xdr:row>22</xdr:row>
      <xdr:rowOff>251460</xdr:rowOff>
    </xdr:from>
    <xdr:to>
      <xdr:col>41</xdr:col>
      <xdr:colOff>339202</xdr:colOff>
      <xdr:row>38</xdr:row>
      <xdr:rowOff>111520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42</xdr:col>
      <xdr:colOff>0</xdr:colOff>
      <xdr:row>23</xdr:row>
      <xdr:rowOff>0</xdr:rowOff>
    </xdr:from>
    <xdr:to>
      <xdr:col>48</xdr:col>
      <xdr:colOff>72502</xdr:colOff>
      <xdr:row>38</xdr:row>
      <xdr:rowOff>126760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48</xdr:col>
      <xdr:colOff>220980</xdr:colOff>
      <xdr:row>22</xdr:row>
      <xdr:rowOff>236220</xdr:rowOff>
    </xdr:from>
    <xdr:to>
      <xdr:col>54</xdr:col>
      <xdr:colOff>293482</xdr:colOff>
      <xdr:row>38</xdr:row>
      <xdr:rowOff>96280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54</xdr:col>
      <xdr:colOff>449580</xdr:colOff>
      <xdr:row>22</xdr:row>
      <xdr:rowOff>259080</xdr:rowOff>
    </xdr:from>
    <xdr:to>
      <xdr:col>60</xdr:col>
      <xdr:colOff>522082</xdr:colOff>
      <xdr:row>38</xdr:row>
      <xdr:rowOff>119140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</xdr:row>
      <xdr:rowOff>35923</xdr:rowOff>
    </xdr:from>
    <xdr:to>
      <xdr:col>29</xdr:col>
      <xdr:colOff>72502</xdr:colOff>
      <xdr:row>18</xdr:row>
      <xdr:rowOff>78863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129540</xdr:colOff>
      <xdr:row>3</xdr:row>
      <xdr:rowOff>45720</xdr:rowOff>
    </xdr:from>
    <xdr:to>
      <xdr:col>35</xdr:col>
      <xdr:colOff>202042</xdr:colOff>
      <xdr:row>18</xdr:row>
      <xdr:rowOff>88660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259080</xdr:colOff>
      <xdr:row>3</xdr:row>
      <xdr:rowOff>38100</xdr:rowOff>
    </xdr:from>
    <xdr:to>
      <xdr:col>41</xdr:col>
      <xdr:colOff>331582</xdr:colOff>
      <xdr:row>18</xdr:row>
      <xdr:rowOff>81040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388620</xdr:colOff>
      <xdr:row>3</xdr:row>
      <xdr:rowOff>53340</xdr:rowOff>
    </xdr:from>
    <xdr:to>
      <xdr:col>47</xdr:col>
      <xdr:colOff>461122</xdr:colOff>
      <xdr:row>18</xdr:row>
      <xdr:rowOff>96280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0</xdr:colOff>
      <xdr:row>3</xdr:row>
      <xdr:rowOff>0</xdr:rowOff>
    </xdr:from>
    <xdr:to>
      <xdr:col>54</xdr:col>
      <xdr:colOff>72502</xdr:colOff>
      <xdr:row>18</xdr:row>
      <xdr:rowOff>42940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54</xdr:col>
      <xdr:colOff>190500</xdr:colOff>
      <xdr:row>3</xdr:row>
      <xdr:rowOff>7620</xdr:rowOff>
    </xdr:from>
    <xdr:to>
      <xdr:col>60</xdr:col>
      <xdr:colOff>263002</xdr:colOff>
      <xdr:row>18</xdr:row>
      <xdr:rowOff>50560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23</xdr:row>
      <xdr:rowOff>0</xdr:rowOff>
    </xdr:from>
    <xdr:to>
      <xdr:col>29</xdr:col>
      <xdr:colOff>72502</xdr:colOff>
      <xdr:row>38</xdr:row>
      <xdr:rowOff>126760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121920</xdr:colOff>
      <xdr:row>23</xdr:row>
      <xdr:rowOff>7620</xdr:rowOff>
    </xdr:from>
    <xdr:to>
      <xdr:col>35</xdr:col>
      <xdr:colOff>194422</xdr:colOff>
      <xdr:row>38</xdr:row>
      <xdr:rowOff>134380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35</xdr:col>
      <xdr:colOff>266700</xdr:colOff>
      <xdr:row>22</xdr:row>
      <xdr:rowOff>251460</xdr:rowOff>
    </xdr:from>
    <xdr:to>
      <xdr:col>41</xdr:col>
      <xdr:colOff>339202</xdr:colOff>
      <xdr:row>38</xdr:row>
      <xdr:rowOff>111520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42</xdr:col>
      <xdr:colOff>0</xdr:colOff>
      <xdr:row>23</xdr:row>
      <xdr:rowOff>0</xdr:rowOff>
    </xdr:from>
    <xdr:to>
      <xdr:col>48</xdr:col>
      <xdr:colOff>72502</xdr:colOff>
      <xdr:row>38</xdr:row>
      <xdr:rowOff>126760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48</xdr:col>
      <xdr:colOff>220980</xdr:colOff>
      <xdr:row>22</xdr:row>
      <xdr:rowOff>236220</xdr:rowOff>
    </xdr:from>
    <xdr:to>
      <xdr:col>54</xdr:col>
      <xdr:colOff>293482</xdr:colOff>
      <xdr:row>38</xdr:row>
      <xdr:rowOff>96280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54</xdr:col>
      <xdr:colOff>449580</xdr:colOff>
      <xdr:row>22</xdr:row>
      <xdr:rowOff>259080</xdr:rowOff>
    </xdr:from>
    <xdr:to>
      <xdr:col>60</xdr:col>
      <xdr:colOff>522082</xdr:colOff>
      <xdr:row>38</xdr:row>
      <xdr:rowOff>119140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</xdr:row>
      <xdr:rowOff>35923</xdr:rowOff>
    </xdr:from>
    <xdr:to>
      <xdr:col>29</xdr:col>
      <xdr:colOff>72502</xdr:colOff>
      <xdr:row>18</xdr:row>
      <xdr:rowOff>78863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129540</xdr:colOff>
      <xdr:row>3</xdr:row>
      <xdr:rowOff>45720</xdr:rowOff>
    </xdr:from>
    <xdr:to>
      <xdr:col>35</xdr:col>
      <xdr:colOff>202042</xdr:colOff>
      <xdr:row>18</xdr:row>
      <xdr:rowOff>88660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259080</xdr:colOff>
      <xdr:row>3</xdr:row>
      <xdr:rowOff>38100</xdr:rowOff>
    </xdr:from>
    <xdr:to>
      <xdr:col>41</xdr:col>
      <xdr:colOff>331582</xdr:colOff>
      <xdr:row>18</xdr:row>
      <xdr:rowOff>81040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388620</xdr:colOff>
      <xdr:row>3</xdr:row>
      <xdr:rowOff>53340</xdr:rowOff>
    </xdr:from>
    <xdr:to>
      <xdr:col>47</xdr:col>
      <xdr:colOff>461122</xdr:colOff>
      <xdr:row>18</xdr:row>
      <xdr:rowOff>96280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0</xdr:colOff>
      <xdr:row>3</xdr:row>
      <xdr:rowOff>0</xdr:rowOff>
    </xdr:from>
    <xdr:to>
      <xdr:col>54</xdr:col>
      <xdr:colOff>72502</xdr:colOff>
      <xdr:row>18</xdr:row>
      <xdr:rowOff>42940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54</xdr:col>
      <xdr:colOff>190500</xdr:colOff>
      <xdr:row>3</xdr:row>
      <xdr:rowOff>7620</xdr:rowOff>
    </xdr:from>
    <xdr:to>
      <xdr:col>60</xdr:col>
      <xdr:colOff>263002</xdr:colOff>
      <xdr:row>18</xdr:row>
      <xdr:rowOff>50560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23</xdr:row>
      <xdr:rowOff>0</xdr:rowOff>
    </xdr:from>
    <xdr:to>
      <xdr:col>29</xdr:col>
      <xdr:colOff>72502</xdr:colOff>
      <xdr:row>38</xdr:row>
      <xdr:rowOff>126760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121920</xdr:colOff>
      <xdr:row>23</xdr:row>
      <xdr:rowOff>7620</xdr:rowOff>
    </xdr:from>
    <xdr:to>
      <xdr:col>35</xdr:col>
      <xdr:colOff>194422</xdr:colOff>
      <xdr:row>38</xdr:row>
      <xdr:rowOff>134380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35</xdr:col>
      <xdr:colOff>266700</xdr:colOff>
      <xdr:row>22</xdr:row>
      <xdr:rowOff>251460</xdr:rowOff>
    </xdr:from>
    <xdr:to>
      <xdr:col>41</xdr:col>
      <xdr:colOff>339202</xdr:colOff>
      <xdr:row>38</xdr:row>
      <xdr:rowOff>111520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42</xdr:col>
      <xdr:colOff>0</xdr:colOff>
      <xdr:row>23</xdr:row>
      <xdr:rowOff>0</xdr:rowOff>
    </xdr:from>
    <xdr:to>
      <xdr:col>48</xdr:col>
      <xdr:colOff>72502</xdr:colOff>
      <xdr:row>38</xdr:row>
      <xdr:rowOff>126760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48</xdr:col>
      <xdr:colOff>220980</xdr:colOff>
      <xdr:row>22</xdr:row>
      <xdr:rowOff>236220</xdr:rowOff>
    </xdr:from>
    <xdr:to>
      <xdr:col>54</xdr:col>
      <xdr:colOff>293482</xdr:colOff>
      <xdr:row>38</xdr:row>
      <xdr:rowOff>96280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54</xdr:col>
      <xdr:colOff>449580</xdr:colOff>
      <xdr:row>22</xdr:row>
      <xdr:rowOff>259080</xdr:rowOff>
    </xdr:from>
    <xdr:to>
      <xdr:col>60</xdr:col>
      <xdr:colOff>522082</xdr:colOff>
      <xdr:row>38</xdr:row>
      <xdr:rowOff>119140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2</xdr:row>
      <xdr:rowOff>0</xdr:rowOff>
    </xdr:from>
    <xdr:to>
      <xdr:col>7</xdr:col>
      <xdr:colOff>647700</xdr:colOff>
      <xdr:row>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662940</xdr:colOff>
      <xdr:row>0</xdr:row>
      <xdr:rowOff>327660</xdr:rowOff>
    </xdr:from>
    <xdr:to>
      <xdr:col>15</xdr:col>
      <xdr:colOff>274320</xdr:colOff>
      <xdr:row>16</xdr:row>
      <xdr:rowOff>91440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18</xdr:row>
      <xdr:rowOff>0</xdr:rowOff>
    </xdr:from>
    <xdr:to>
      <xdr:col>15</xdr:col>
      <xdr:colOff>281940</xdr:colOff>
      <xdr:row>33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17780</xdr:colOff>
      <xdr:row>0</xdr:row>
      <xdr:rowOff>347980</xdr:rowOff>
    </xdr:from>
    <xdr:to>
      <xdr:col>22</xdr:col>
      <xdr:colOff>546100</xdr:colOff>
      <xdr:row>16</xdr:row>
      <xdr:rowOff>109220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33020</xdr:colOff>
      <xdr:row>17</xdr:row>
      <xdr:rowOff>111760</xdr:rowOff>
    </xdr:from>
    <xdr:to>
      <xdr:col>22</xdr:col>
      <xdr:colOff>561340</xdr:colOff>
      <xdr:row>33</xdr:row>
      <xdr:rowOff>50800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2</xdr:row>
      <xdr:rowOff>0</xdr:rowOff>
    </xdr:from>
    <xdr:to>
      <xdr:col>7</xdr:col>
      <xdr:colOff>647700</xdr:colOff>
      <xdr:row>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0</xdr:row>
      <xdr:rowOff>346709</xdr:rowOff>
    </xdr:from>
    <xdr:to>
      <xdr:col>17</xdr:col>
      <xdr:colOff>533400</xdr:colOff>
      <xdr:row>20</xdr:row>
      <xdr:rowOff>47625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22</xdr:row>
      <xdr:rowOff>0</xdr:rowOff>
    </xdr:from>
    <xdr:to>
      <xdr:col>16</xdr:col>
      <xdr:colOff>417195</xdr:colOff>
      <xdr:row>41</xdr:row>
      <xdr:rowOff>62865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333375</xdr:colOff>
      <xdr:row>24</xdr:row>
      <xdr:rowOff>76200</xdr:rowOff>
    </xdr:from>
    <xdr:to>
      <xdr:col>11</xdr:col>
      <xdr:colOff>619125</xdr:colOff>
      <xdr:row>26</xdr:row>
      <xdr:rowOff>9525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9677400" y="437197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12</xdr:col>
      <xdr:colOff>361950</xdr:colOff>
      <xdr:row>29</xdr:row>
      <xdr:rowOff>104775</xdr:rowOff>
    </xdr:from>
    <xdr:to>
      <xdr:col>12</xdr:col>
      <xdr:colOff>647700</xdr:colOff>
      <xdr:row>31</xdr:row>
      <xdr:rowOff>38100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1210925" y="525780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14</xdr:col>
      <xdr:colOff>466725</xdr:colOff>
      <xdr:row>33</xdr:row>
      <xdr:rowOff>9525</xdr:rowOff>
    </xdr:from>
    <xdr:to>
      <xdr:col>15</xdr:col>
      <xdr:colOff>85725</xdr:colOff>
      <xdr:row>34</xdr:row>
      <xdr:rowOff>114300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12763500" y="584835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419100</xdr:colOff>
      <xdr:row>12</xdr:row>
      <xdr:rowOff>152400</xdr:rowOff>
    </xdr:from>
    <xdr:to>
      <xdr:col>11</xdr:col>
      <xdr:colOff>704850</xdr:colOff>
      <xdr:row>14</xdr:row>
      <xdr:rowOff>85725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/>
      </xdr:nvSpPr>
      <xdr:spPr>
        <a:xfrm>
          <a:off x="9763125" y="239077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12</xdr:col>
      <xdr:colOff>685800</xdr:colOff>
      <xdr:row>10</xdr:row>
      <xdr:rowOff>152400</xdr:rowOff>
    </xdr:from>
    <xdr:to>
      <xdr:col>13</xdr:col>
      <xdr:colOff>190500</xdr:colOff>
      <xdr:row>12</xdr:row>
      <xdr:rowOff>85725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/>
      </xdr:nvSpPr>
      <xdr:spPr>
        <a:xfrm>
          <a:off x="11534775" y="204787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15</xdr:col>
      <xdr:colOff>419100</xdr:colOff>
      <xdr:row>6</xdr:row>
      <xdr:rowOff>104775</xdr:rowOff>
    </xdr:from>
    <xdr:to>
      <xdr:col>16</xdr:col>
      <xdr:colOff>38100</xdr:colOff>
      <xdr:row>8</xdr:row>
      <xdr:rowOff>38100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/>
      </xdr:nvSpPr>
      <xdr:spPr>
        <a:xfrm>
          <a:off x="13382625" y="131445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933450</xdr:colOff>
      <xdr:row>11</xdr:row>
      <xdr:rowOff>89535</xdr:rowOff>
    </xdr:from>
    <xdr:to>
      <xdr:col>11</xdr:col>
      <xdr:colOff>1219200</xdr:colOff>
      <xdr:row>13</xdr:row>
      <xdr:rowOff>22860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/>
      </xdr:nvSpPr>
      <xdr:spPr>
        <a:xfrm>
          <a:off x="10277475" y="215646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13</xdr:col>
      <xdr:colOff>474345</xdr:colOff>
      <xdr:row>7</xdr:row>
      <xdr:rowOff>150495</xdr:rowOff>
    </xdr:from>
    <xdr:to>
      <xdr:col>14</xdr:col>
      <xdr:colOff>93345</xdr:colOff>
      <xdr:row>9</xdr:row>
      <xdr:rowOff>83820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2104370" y="153162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16</xdr:col>
      <xdr:colOff>249555</xdr:colOff>
      <xdr:row>2</xdr:row>
      <xdr:rowOff>95250</xdr:rowOff>
    </xdr:from>
    <xdr:to>
      <xdr:col>16</xdr:col>
      <xdr:colOff>535305</xdr:colOff>
      <xdr:row>4</xdr:row>
      <xdr:rowOff>28575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/>
      </xdr:nvSpPr>
      <xdr:spPr>
        <a:xfrm>
          <a:off x="13879830" y="61912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809625</xdr:colOff>
      <xdr:row>26</xdr:row>
      <xdr:rowOff>80010</xdr:rowOff>
    </xdr:from>
    <xdr:to>
      <xdr:col>11</xdr:col>
      <xdr:colOff>1095375</xdr:colOff>
      <xdr:row>28</xdr:row>
      <xdr:rowOff>13335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10153650" y="471868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13</xdr:col>
      <xdr:colOff>45720</xdr:colOff>
      <xdr:row>32</xdr:row>
      <xdr:rowOff>55245</xdr:rowOff>
    </xdr:from>
    <xdr:to>
      <xdr:col>13</xdr:col>
      <xdr:colOff>331470</xdr:colOff>
      <xdr:row>33</xdr:row>
      <xdr:rowOff>160020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11675745" y="572262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15</xdr:col>
      <xdr:colOff>230505</xdr:colOff>
      <xdr:row>34</xdr:row>
      <xdr:rowOff>66675</xdr:rowOff>
    </xdr:from>
    <xdr:to>
      <xdr:col>15</xdr:col>
      <xdr:colOff>516255</xdr:colOff>
      <xdr:row>36</xdr:row>
      <xdr:rowOff>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3194030" y="607695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GB">
            <a:effectLst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2</xdr:row>
      <xdr:rowOff>0</xdr:rowOff>
    </xdr:from>
    <xdr:to>
      <xdr:col>7</xdr:col>
      <xdr:colOff>647700</xdr:colOff>
      <xdr:row>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0</xdr:row>
      <xdr:rowOff>346709</xdr:rowOff>
    </xdr:from>
    <xdr:to>
      <xdr:col>17</xdr:col>
      <xdr:colOff>533400</xdr:colOff>
      <xdr:row>20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22</xdr:row>
      <xdr:rowOff>0</xdr:rowOff>
    </xdr:from>
    <xdr:to>
      <xdr:col>17</xdr:col>
      <xdr:colOff>495300</xdr:colOff>
      <xdr:row>40</xdr:row>
      <xdr:rowOff>104775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390525</xdr:colOff>
      <xdr:row>24</xdr:row>
      <xdr:rowOff>57150</xdr:rowOff>
    </xdr:from>
    <xdr:to>
      <xdr:col>11</xdr:col>
      <xdr:colOff>676275</xdr:colOff>
      <xdr:row>25</xdr:row>
      <xdr:rowOff>161925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9734550" y="435292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11</xdr:col>
      <xdr:colOff>419100</xdr:colOff>
      <xdr:row>12</xdr:row>
      <xdr:rowOff>152400</xdr:rowOff>
    </xdr:from>
    <xdr:to>
      <xdr:col>11</xdr:col>
      <xdr:colOff>704850</xdr:colOff>
      <xdr:row>14</xdr:row>
      <xdr:rowOff>85725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9776460" y="2430780"/>
          <a:ext cx="285750" cy="2838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933450</xdr:colOff>
      <xdr:row>11</xdr:row>
      <xdr:rowOff>89535</xdr:rowOff>
    </xdr:from>
    <xdr:to>
      <xdr:col>11</xdr:col>
      <xdr:colOff>1219200</xdr:colOff>
      <xdr:row>13</xdr:row>
      <xdr:rowOff>22860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/>
      </xdr:nvSpPr>
      <xdr:spPr>
        <a:xfrm>
          <a:off x="10290810" y="2192655"/>
          <a:ext cx="285750" cy="2838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11</xdr:col>
      <xdr:colOff>933450</xdr:colOff>
      <xdr:row>27</xdr:row>
      <xdr:rowOff>3810</xdr:rowOff>
    </xdr:from>
    <xdr:to>
      <xdr:col>11</xdr:col>
      <xdr:colOff>1219200</xdr:colOff>
      <xdr:row>28</xdr:row>
      <xdr:rowOff>108585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/>
      </xdr:nvSpPr>
      <xdr:spPr>
        <a:xfrm>
          <a:off x="10277475" y="481393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11</xdr:col>
      <xdr:colOff>1495425</xdr:colOff>
      <xdr:row>3</xdr:row>
      <xdr:rowOff>85725</xdr:rowOff>
    </xdr:from>
    <xdr:to>
      <xdr:col>11</xdr:col>
      <xdr:colOff>1495425</xdr:colOff>
      <xdr:row>17</xdr:row>
      <xdr:rowOff>19050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>
          <a:off x="10839450" y="781050"/>
          <a:ext cx="0" cy="2333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552450</xdr:colOff>
      <xdr:row>3</xdr:row>
      <xdr:rowOff>66675</xdr:rowOff>
    </xdr:from>
    <xdr:to>
      <xdr:col>14</xdr:col>
      <xdr:colOff>552450</xdr:colOff>
      <xdr:row>17</xdr:row>
      <xdr:rowOff>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>
          <a:off x="12849225" y="762000"/>
          <a:ext cx="0" cy="2333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24</xdr:row>
      <xdr:rowOff>123825</xdr:rowOff>
    </xdr:from>
    <xdr:to>
      <xdr:col>12</xdr:col>
      <xdr:colOff>0</xdr:colOff>
      <xdr:row>38</xdr:row>
      <xdr:rowOff>57150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>
          <a:off x="10848975" y="4419600"/>
          <a:ext cx="0" cy="2333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657225</xdr:colOff>
      <xdr:row>24</xdr:row>
      <xdr:rowOff>152400</xdr:rowOff>
    </xdr:from>
    <xdr:to>
      <xdr:col>14</xdr:col>
      <xdr:colOff>657225</xdr:colOff>
      <xdr:row>38</xdr:row>
      <xdr:rowOff>85725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>
          <a:off x="12954000" y="4448175"/>
          <a:ext cx="0" cy="2333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708660</xdr:colOff>
      <xdr:row>10</xdr:row>
      <xdr:rowOff>150495</xdr:rowOff>
    </xdr:from>
    <xdr:to>
      <xdr:col>13</xdr:col>
      <xdr:colOff>213360</xdr:colOff>
      <xdr:row>12</xdr:row>
      <xdr:rowOff>83820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/>
      </xdr:nvSpPr>
      <xdr:spPr>
        <a:xfrm>
          <a:off x="11557635" y="204597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13</xdr:col>
      <xdr:colOff>470535</xdr:colOff>
      <xdr:row>7</xdr:row>
      <xdr:rowOff>144780</xdr:rowOff>
    </xdr:from>
    <xdr:to>
      <xdr:col>14</xdr:col>
      <xdr:colOff>89535</xdr:colOff>
      <xdr:row>9</xdr:row>
      <xdr:rowOff>78105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/>
      </xdr:nvSpPr>
      <xdr:spPr>
        <a:xfrm>
          <a:off x="12100560" y="152590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12</xdr:col>
      <xdr:colOff>733425</xdr:colOff>
      <xdr:row>29</xdr:row>
      <xdr:rowOff>114300</xdr:rowOff>
    </xdr:from>
    <xdr:to>
      <xdr:col>13</xdr:col>
      <xdr:colOff>238125</xdr:colOff>
      <xdr:row>31</xdr:row>
      <xdr:rowOff>47625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/>
      </xdr:nvSpPr>
      <xdr:spPr>
        <a:xfrm>
          <a:off x="11582400" y="526732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13</xdr:col>
      <xdr:colOff>419100</xdr:colOff>
      <xdr:row>32</xdr:row>
      <xdr:rowOff>108585</xdr:rowOff>
    </xdr:from>
    <xdr:to>
      <xdr:col>14</xdr:col>
      <xdr:colOff>38100</xdr:colOff>
      <xdr:row>34</xdr:row>
      <xdr:rowOff>41910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/>
      </xdr:nvSpPr>
      <xdr:spPr>
        <a:xfrm>
          <a:off x="12049125" y="577596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15</xdr:col>
      <xdr:colOff>413385</xdr:colOff>
      <xdr:row>6</xdr:row>
      <xdr:rowOff>140970</xdr:rowOff>
    </xdr:from>
    <xdr:to>
      <xdr:col>16</xdr:col>
      <xdr:colOff>32385</xdr:colOff>
      <xdr:row>8</xdr:row>
      <xdr:rowOff>74295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/>
      </xdr:nvSpPr>
      <xdr:spPr>
        <a:xfrm>
          <a:off x="13376910" y="135064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effectLst/>
          </a:endParaRPr>
        </a:p>
      </xdr:txBody>
    </xdr:sp>
    <xdr:clientData/>
  </xdr:twoCellAnchor>
  <xdr:twoCellAnchor>
    <xdr:from>
      <xdr:col>16</xdr:col>
      <xdr:colOff>289560</xdr:colOff>
      <xdr:row>2</xdr:row>
      <xdr:rowOff>87630</xdr:rowOff>
    </xdr:from>
    <xdr:to>
      <xdr:col>16</xdr:col>
      <xdr:colOff>575310</xdr:colOff>
      <xdr:row>4</xdr:row>
      <xdr:rowOff>20955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/>
      </xdr:nvSpPr>
      <xdr:spPr>
        <a:xfrm>
          <a:off x="13919835" y="61150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effectLst/>
          </a:endParaRPr>
        </a:p>
      </xdr:txBody>
    </xdr:sp>
    <xdr:clientData/>
  </xdr:twoCellAnchor>
  <xdr:twoCellAnchor>
    <xdr:from>
      <xdr:col>15</xdr:col>
      <xdr:colOff>390525</xdr:colOff>
      <xdr:row>32</xdr:row>
      <xdr:rowOff>142875</xdr:rowOff>
    </xdr:from>
    <xdr:to>
      <xdr:col>16</xdr:col>
      <xdr:colOff>9525</xdr:colOff>
      <xdr:row>34</xdr:row>
      <xdr:rowOff>76200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/>
      </xdr:nvSpPr>
      <xdr:spPr>
        <a:xfrm>
          <a:off x="13354050" y="5810250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16</xdr:col>
      <xdr:colOff>285750</xdr:colOff>
      <xdr:row>34</xdr:row>
      <xdr:rowOff>137160</xdr:rowOff>
    </xdr:from>
    <xdr:to>
      <xdr:col>16</xdr:col>
      <xdr:colOff>571500</xdr:colOff>
      <xdr:row>36</xdr:row>
      <xdr:rowOff>70485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/>
      </xdr:nvSpPr>
      <xdr:spPr>
        <a:xfrm>
          <a:off x="13916025" y="6147435"/>
          <a:ext cx="28575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accent3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b</a:t>
          </a:r>
          <a:endParaRPr lang="en-GB">
            <a:solidFill>
              <a:schemeClr val="accent3">
                <a:lumMod val="50000"/>
              </a:schemeClr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35"/>
  <sheetViews>
    <sheetView topLeftCell="BC1" zoomScale="90" zoomScaleNormal="90" workbookViewId="0">
      <selection activeCell="BP24" sqref="BK23:BP24"/>
    </sheetView>
  </sheetViews>
  <sheetFormatPr defaultRowHeight="13.8" x14ac:dyDescent="0.25"/>
  <cols>
    <col min="3" max="3" width="10.69921875" bestFit="1" customWidth="1"/>
    <col min="62" max="62" width="25.8984375" bestFit="1" customWidth="1"/>
  </cols>
  <sheetData>
    <row r="1" spans="1:71" ht="21" x14ac:dyDescent="0.4">
      <c r="C1" s="11">
        <v>0.97</v>
      </c>
      <c r="D1" s="2"/>
      <c r="E1" s="2"/>
      <c r="F1" s="2"/>
      <c r="G1" s="2"/>
      <c r="H1" s="2"/>
      <c r="I1" s="2"/>
    </row>
    <row r="2" spans="1:71" x14ac:dyDescent="0.25">
      <c r="AJ2" t="s">
        <v>46</v>
      </c>
      <c r="AK2" t="s">
        <v>47</v>
      </c>
      <c r="AL2" t="s">
        <v>48</v>
      </c>
    </row>
    <row r="3" spans="1:71" ht="15" thickBot="1" x14ac:dyDescent="0.35">
      <c r="C3" s="2">
        <v>15</v>
      </c>
      <c r="D3" s="2"/>
      <c r="E3" s="2"/>
      <c r="F3" s="2"/>
      <c r="G3" s="2"/>
      <c r="H3" s="2"/>
      <c r="I3" s="2"/>
      <c r="T3" t="s">
        <v>43</v>
      </c>
    </row>
    <row r="4" spans="1:71" ht="15" thickBot="1" x14ac:dyDescent="0.35">
      <c r="B4" s="12">
        <v>0.52083333333333337</v>
      </c>
      <c r="C4" s="3" t="s">
        <v>0</v>
      </c>
      <c r="D4" s="35">
        <v>1</v>
      </c>
      <c r="E4" s="34"/>
      <c r="F4" s="35">
        <v>2</v>
      </c>
      <c r="G4" s="34"/>
      <c r="H4" s="35">
        <v>3</v>
      </c>
      <c r="I4" s="34"/>
      <c r="J4" s="35">
        <v>4</v>
      </c>
      <c r="K4" s="34"/>
      <c r="L4" s="35">
        <v>5</v>
      </c>
      <c r="M4" s="34"/>
      <c r="N4" s="33">
        <v>6</v>
      </c>
      <c r="O4" s="34"/>
      <c r="Q4" s="4">
        <v>1</v>
      </c>
      <c r="R4" s="4">
        <v>2</v>
      </c>
      <c r="S4" s="4">
        <v>3</v>
      </c>
      <c r="T4" s="4">
        <v>4</v>
      </c>
      <c r="U4" s="4">
        <v>5</v>
      </c>
      <c r="V4" s="4">
        <v>6</v>
      </c>
      <c r="BR4" s="17">
        <v>0.97</v>
      </c>
    </row>
    <row r="5" spans="1:71" ht="14.4" x14ac:dyDescent="0.3">
      <c r="A5" s="3">
        <v>2</v>
      </c>
      <c r="B5" s="3">
        <v>20</v>
      </c>
      <c r="C5" s="3">
        <f>(48+7.5)/24</f>
        <v>2.3125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Q5">
        <f t="shared" ref="Q5:Q18" si="0">SUM(D5:E5)/2</f>
        <v>0</v>
      </c>
      <c r="R5">
        <f t="shared" ref="R5:R18" si="1">SUM(F5:G5)/2</f>
        <v>0</v>
      </c>
      <c r="S5">
        <f t="shared" ref="S5:S11" si="2">SUM(H5:I5)/2</f>
        <v>0</v>
      </c>
      <c r="T5">
        <f t="shared" ref="T5:T13" si="3">SUM(J5:K5)/2</f>
        <v>0</v>
      </c>
      <c r="U5">
        <f t="shared" ref="U5:U18" si="4">SUM(L5:M5)/2</f>
        <v>0</v>
      </c>
      <c r="V5">
        <f t="shared" ref="V5:V18" si="5">SUM(N5:O5)/2</f>
        <v>0</v>
      </c>
      <c r="BK5">
        <v>7</v>
      </c>
      <c r="BL5">
        <v>8.5</v>
      </c>
      <c r="BM5">
        <v>9</v>
      </c>
      <c r="BN5">
        <v>9.5</v>
      </c>
      <c r="BO5">
        <v>10</v>
      </c>
      <c r="BP5">
        <v>5.5</v>
      </c>
    </row>
    <row r="6" spans="1:71" ht="14.4" x14ac:dyDescent="0.3">
      <c r="A6" s="3">
        <v>4</v>
      </c>
      <c r="B6" s="12">
        <v>0.8125</v>
      </c>
      <c r="C6" s="3">
        <f>(96+7)/24</f>
        <v>4.291666666666667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Q6">
        <f t="shared" si="0"/>
        <v>0</v>
      </c>
      <c r="R6">
        <f t="shared" si="1"/>
        <v>0</v>
      </c>
      <c r="S6">
        <f t="shared" si="2"/>
        <v>0</v>
      </c>
      <c r="T6">
        <f t="shared" si="3"/>
        <v>0</v>
      </c>
      <c r="U6">
        <f t="shared" si="4"/>
        <v>0</v>
      </c>
      <c r="V6">
        <f t="shared" si="5"/>
        <v>0</v>
      </c>
      <c r="BJ6" s="5" t="s">
        <v>3</v>
      </c>
      <c r="BK6" s="6">
        <v>1</v>
      </c>
      <c r="BL6" s="6">
        <v>2</v>
      </c>
      <c r="BM6" s="6">
        <v>3</v>
      </c>
      <c r="BN6" s="6">
        <v>4</v>
      </c>
      <c r="BO6" s="6">
        <v>5</v>
      </c>
      <c r="BP6" s="6">
        <v>6</v>
      </c>
      <c r="BR6" s="13" t="s">
        <v>4</v>
      </c>
      <c r="BS6" s="14" t="s">
        <v>5</v>
      </c>
    </row>
    <row r="7" spans="1:71" ht="14.4" x14ac:dyDescent="0.3">
      <c r="A7" s="3">
        <v>6</v>
      </c>
      <c r="B7" s="3">
        <v>21.25</v>
      </c>
      <c r="C7" s="3">
        <f>(144+9)/24</f>
        <v>6.375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Q7">
        <f t="shared" si="0"/>
        <v>0</v>
      </c>
      <c r="R7">
        <f t="shared" si="1"/>
        <v>0</v>
      </c>
      <c r="S7">
        <f t="shared" si="2"/>
        <v>0</v>
      </c>
      <c r="T7">
        <f t="shared" si="3"/>
        <v>0</v>
      </c>
      <c r="U7">
        <f t="shared" si="4"/>
        <v>0</v>
      </c>
      <c r="V7">
        <f t="shared" si="5"/>
        <v>0</v>
      </c>
      <c r="BJ7" s="6" t="s">
        <v>6</v>
      </c>
      <c r="BK7" s="8">
        <f>BM10</f>
        <v>1.7095</v>
      </c>
      <c r="BL7" s="8">
        <f>BM11</f>
        <v>1.5623</v>
      </c>
      <c r="BM7" s="8">
        <f>BM12</f>
        <v>1.6101000000000001</v>
      </c>
      <c r="BN7" s="8">
        <f>BM13</f>
        <v>1.5148999999999999</v>
      </c>
      <c r="BO7" s="9">
        <f>BM14</f>
        <v>1.5007999999999999</v>
      </c>
      <c r="BP7" s="8">
        <f>BM15</f>
        <v>0</v>
      </c>
      <c r="BR7" s="15">
        <f>SUM(BK7:BO7)/5</f>
        <v>1.57952</v>
      </c>
      <c r="BS7" s="15">
        <f>_xlfn.STDEV.P(BK7:BO7)/SQRT(5)</f>
        <v>3.3763322111427387E-2</v>
      </c>
    </row>
    <row r="8" spans="1:71" ht="14.4" x14ac:dyDescent="0.3">
      <c r="A8" s="3">
        <v>8</v>
      </c>
      <c r="B8" s="12">
        <v>0.70833333333333337</v>
      </c>
      <c r="C8" s="3">
        <f>(192+4.5)/24</f>
        <v>8.1875</v>
      </c>
      <c r="D8" s="2">
        <v>8</v>
      </c>
      <c r="E8" s="2">
        <v>6</v>
      </c>
      <c r="F8" s="2">
        <v>7</v>
      </c>
      <c r="G8" s="2">
        <v>10</v>
      </c>
      <c r="H8" s="2">
        <v>9</v>
      </c>
      <c r="I8" s="2">
        <v>9</v>
      </c>
      <c r="J8" s="2">
        <v>7</v>
      </c>
      <c r="K8" s="2">
        <v>12</v>
      </c>
      <c r="L8" s="2">
        <v>10</v>
      </c>
      <c r="M8" s="2">
        <v>10</v>
      </c>
      <c r="N8" s="2">
        <v>5</v>
      </c>
      <c r="O8" s="2">
        <v>6</v>
      </c>
      <c r="Q8">
        <f t="shared" si="0"/>
        <v>7</v>
      </c>
      <c r="R8">
        <f t="shared" si="1"/>
        <v>8.5</v>
      </c>
      <c r="S8">
        <f t="shared" si="2"/>
        <v>9</v>
      </c>
      <c r="T8">
        <f t="shared" si="3"/>
        <v>9.5</v>
      </c>
      <c r="U8">
        <f t="shared" si="4"/>
        <v>10</v>
      </c>
      <c r="V8">
        <f t="shared" si="5"/>
        <v>5.5</v>
      </c>
      <c r="BJ8" s="6" t="s">
        <v>7</v>
      </c>
      <c r="BK8" s="8">
        <f xml:space="preserve"> (7+BO10)/BK7</f>
        <v>16.378473237788825</v>
      </c>
      <c r="BL8" s="8">
        <f xml:space="preserve"> (8.5+BO11)/BL7</f>
        <v>16.685655763937785</v>
      </c>
      <c r="BM8" s="8">
        <f xml:space="preserve"> (9+BO12)/BM7</f>
        <v>16.822557605117694</v>
      </c>
      <c r="BN8" s="8">
        <f xml:space="preserve"> (9.5+BO13)/BN7</f>
        <v>7.3385702026536412</v>
      </c>
      <c r="BO8" s="8">
        <f xml:space="preserve"> (10+BO14)/BO7</f>
        <v>8.5021988272921103</v>
      </c>
      <c r="BP8" s="8" t="e">
        <f xml:space="preserve"> (10+BO15)/BP7</f>
        <v>#DIV/0!</v>
      </c>
      <c r="BR8" s="15">
        <f>SUM(BK8:BO8)/5</f>
        <v>13.14549112735801</v>
      </c>
      <c r="BS8" s="15">
        <f>_xlfn.STDEV.P(BK8:BO8)/SQRT(5)</f>
        <v>1.9161028247141676</v>
      </c>
    </row>
    <row r="9" spans="1:71" ht="14.4" x14ac:dyDescent="0.3">
      <c r="A9" s="3">
        <v>10</v>
      </c>
      <c r="B9" s="12">
        <v>0.75694444444444453</v>
      </c>
      <c r="C9" s="3">
        <f>(240+5.6)/24</f>
        <v>10.233333333333333</v>
      </c>
      <c r="D9" s="2">
        <v>8</v>
      </c>
      <c r="E9" s="2">
        <v>9</v>
      </c>
      <c r="F9" s="2">
        <v>9</v>
      </c>
      <c r="G9" s="2">
        <v>11</v>
      </c>
      <c r="H9" s="2">
        <v>9</v>
      </c>
      <c r="I9" s="2">
        <v>8</v>
      </c>
      <c r="J9" s="2">
        <v>9</v>
      </c>
      <c r="K9" s="2">
        <v>20</v>
      </c>
      <c r="L9" s="2">
        <v>9</v>
      </c>
      <c r="M9" s="2">
        <v>10</v>
      </c>
      <c r="N9" s="2">
        <v>5</v>
      </c>
      <c r="O9" s="2">
        <v>10</v>
      </c>
      <c r="Q9">
        <f t="shared" si="0"/>
        <v>8.5</v>
      </c>
      <c r="R9">
        <f t="shared" si="1"/>
        <v>10</v>
      </c>
      <c r="S9">
        <f t="shared" si="2"/>
        <v>8.5</v>
      </c>
      <c r="T9">
        <f t="shared" si="3"/>
        <v>14.5</v>
      </c>
      <c r="U9">
        <f t="shared" si="4"/>
        <v>9.5</v>
      </c>
      <c r="V9">
        <f t="shared" si="5"/>
        <v>7.5</v>
      </c>
    </row>
    <row r="10" spans="1:71" ht="14.4" x14ac:dyDescent="0.3">
      <c r="A10" s="3">
        <v>13</v>
      </c>
      <c r="B10" s="12">
        <v>0.54166666666666663</v>
      </c>
      <c r="C10" s="3">
        <f>(312+0.5)/24</f>
        <v>13.020833333333334</v>
      </c>
      <c r="D10" s="2">
        <v>9</v>
      </c>
      <c r="E10" s="2">
        <v>10</v>
      </c>
      <c r="F10" s="2">
        <v>9</v>
      </c>
      <c r="G10" s="2">
        <v>11</v>
      </c>
      <c r="H10" s="2">
        <v>10</v>
      </c>
      <c r="I10" s="2">
        <v>10</v>
      </c>
      <c r="J10" s="2">
        <v>9</v>
      </c>
      <c r="K10" s="2">
        <v>20</v>
      </c>
      <c r="L10" s="2">
        <v>11</v>
      </c>
      <c r="M10" s="2">
        <v>12</v>
      </c>
      <c r="N10" s="2">
        <v>6</v>
      </c>
      <c r="O10" s="2">
        <v>15</v>
      </c>
      <c r="Q10">
        <f t="shared" si="0"/>
        <v>9.5</v>
      </c>
      <c r="R10">
        <f t="shared" si="1"/>
        <v>10</v>
      </c>
      <c r="S10">
        <f t="shared" si="2"/>
        <v>10</v>
      </c>
      <c r="T10">
        <f t="shared" si="3"/>
        <v>14.5</v>
      </c>
      <c r="U10">
        <f t="shared" si="4"/>
        <v>11.5</v>
      </c>
      <c r="V10">
        <f t="shared" si="5"/>
        <v>10.5</v>
      </c>
      <c r="BJ10" t="s">
        <v>15</v>
      </c>
      <c r="BK10" t="s">
        <v>16</v>
      </c>
      <c r="BL10" t="s">
        <v>17</v>
      </c>
      <c r="BM10">
        <v>1.7095</v>
      </c>
      <c r="BN10" t="s">
        <v>18</v>
      </c>
      <c r="BO10">
        <v>20.998999999999999</v>
      </c>
    </row>
    <row r="11" spans="1:71" ht="14.4" x14ac:dyDescent="0.3">
      <c r="A11" s="3">
        <v>15</v>
      </c>
      <c r="B11" s="12">
        <v>0.72916666666666663</v>
      </c>
      <c r="C11" s="3">
        <f>((24*A11)+5)/24</f>
        <v>15.208333333333334</v>
      </c>
      <c r="D11" s="2">
        <v>9</v>
      </c>
      <c r="E11" s="2">
        <v>10</v>
      </c>
      <c r="F11" s="2">
        <v>9</v>
      </c>
      <c r="G11" s="2">
        <v>11</v>
      </c>
      <c r="H11" s="2">
        <v>10</v>
      </c>
      <c r="I11" s="2">
        <v>10</v>
      </c>
      <c r="J11" s="2">
        <v>9</v>
      </c>
      <c r="K11" s="2">
        <v>20</v>
      </c>
      <c r="L11" s="2">
        <v>11</v>
      </c>
      <c r="M11" s="2">
        <v>12</v>
      </c>
      <c r="N11" s="2">
        <v>6</v>
      </c>
      <c r="O11" s="2">
        <v>15</v>
      </c>
      <c r="Q11">
        <f t="shared" si="0"/>
        <v>9.5</v>
      </c>
      <c r="R11">
        <f t="shared" si="1"/>
        <v>10</v>
      </c>
      <c r="S11">
        <f t="shared" si="2"/>
        <v>10</v>
      </c>
      <c r="T11">
        <f t="shared" si="3"/>
        <v>14.5</v>
      </c>
      <c r="U11">
        <f t="shared" si="4"/>
        <v>11.5</v>
      </c>
      <c r="V11">
        <f t="shared" si="5"/>
        <v>10.5</v>
      </c>
      <c r="BJ11" t="s">
        <v>15</v>
      </c>
      <c r="BK11" t="s">
        <v>16</v>
      </c>
      <c r="BL11" t="s">
        <v>17</v>
      </c>
      <c r="BM11">
        <v>1.5623</v>
      </c>
      <c r="BN11" t="s">
        <v>18</v>
      </c>
      <c r="BO11">
        <v>17.568000000000001</v>
      </c>
    </row>
    <row r="12" spans="1:71" ht="14.4" x14ac:dyDescent="0.3">
      <c r="A12" s="3">
        <v>17</v>
      </c>
      <c r="B12" s="12">
        <v>0.71875</v>
      </c>
      <c r="C12" s="3">
        <f>((24*A12)+4.75)/24</f>
        <v>17.197916666666668</v>
      </c>
      <c r="D12" s="2">
        <v>9</v>
      </c>
      <c r="E12" s="2">
        <v>10</v>
      </c>
      <c r="F12" s="2">
        <v>9</v>
      </c>
      <c r="G12" s="2">
        <v>11</v>
      </c>
      <c r="H12" s="2">
        <v>10</v>
      </c>
      <c r="I12" s="2">
        <v>10</v>
      </c>
      <c r="J12" s="2">
        <v>9</v>
      </c>
      <c r="K12" s="2">
        <v>20</v>
      </c>
      <c r="L12" s="2">
        <v>11</v>
      </c>
      <c r="M12" s="2">
        <v>12</v>
      </c>
      <c r="N12" s="2">
        <v>6</v>
      </c>
      <c r="O12" s="2">
        <v>15</v>
      </c>
      <c r="Q12">
        <f t="shared" si="0"/>
        <v>9.5</v>
      </c>
      <c r="R12">
        <f t="shared" si="1"/>
        <v>10</v>
      </c>
      <c r="S12">
        <f t="shared" ref="S12:S18" si="6">SUM(H12:I12)/2</f>
        <v>10</v>
      </c>
      <c r="T12">
        <f t="shared" si="3"/>
        <v>14.5</v>
      </c>
      <c r="U12">
        <f t="shared" si="4"/>
        <v>11.5</v>
      </c>
      <c r="V12">
        <f t="shared" si="5"/>
        <v>10.5</v>
      </c>
      <c r="BJ12" t="s">
        <v>15</v>
      </c>
      <c r="BK12" t="s">
        <v>16</v>
      </c>
      <c r="BL12" t="s">
        <v>17</v>
      </c>
      <c r="BM12">
        <v>1.6101000000000001</v>
      </c>
      <c r="BN12" t="s">
        <v>18</v>
      </c>
      <c r="BO12">
        <v>18.085999999999999</v>
      </c>
    </row>
    <row r="13" spans="1:71" ht="14.4" x14ac:dyDescent="0.3">
      <c r="A13" s="3">
        <v>20</v>
      </c>
      <c r="B13" s="3">
        <v>14.5</v>
      </c>
      <c r="C13" s="3">
        <f t="shared" ref="C13:C14" si="7">((24*A13)+(B13-12.5))/24</f>
        <v>20.083333333333332</v>
      </c>
      <c r="D13" s="2">
        <v>12</v>
      </c>
      <c r="E13" s="2">
        <v>14</v>
      </c>
      <c r="F13" s="2">
        <v>13</v>
      </c>
      <c r="G13" s="2">
        <v>15</v>
      </c>
      <c r="H13" s="2">
        <v>15</v>
      </c>
      <c r="I13" s="2">
        <v>13</v>
      </c>
      <c r="J13" s="2">
        <v>14</v>
      </c>
      <c r="K13" s="2">
        <v>26</v>
      </c>
      <c r="L13" s="2">
        <v>14</v>
      </c>
      <c r="M13" s="2">
        <v>16</v>
      </c>
      <c r="N13" s="2">
        <v>9</v>
      </c>
      <c r="O13" s="2">
        <v>16</v>
      </c>
      <c r="Q13">
        <f t="shared" si="0"/>
        <v>13</v>
      </c>
      <c r="R13">
        <f t="shared" si="1"/>
        <v>14</v>
      </c>
      <c r="S13">
        <f t="shared" si="6"/>
        <v>14</v>
      </c>
      <c r="T13">
        <f t="shared" si="3"/>
        <v>20</v>
      </c>
      <c r="U13">
        <f t="shared" si="4"/>
        <v>15</v>
      </c>
      <c r="V13">
        <f t="shared" si="5"/>
        <v>12.5</v>
      </c>
      <c r="BJ13" t="s">
        <v>15</v>
      </c>
      <c r="BK13" t="s">
        <v>16</v>
      </c>
      <c r="BL13" t="s">
        <v>17</v>
      </c>
      <c r="BM13">
        <v>1.5148999999999999</v>
      </c>
      <c r="BN13" t="s">
        <v>18</v>
      </c>
      <c r="BO13">
        <v>1.6172</v>
      </c>
    </row>
    <row r="14" spans="1:71" ht="14.4" x14ac:dyDescent="0.3">
      <c r="A14" s="3">
        <v>22</v>
      </c>
      <c r="B14" s="19">
        <v>18</v>
      </c>
      <c r="C14" s="3">
        <f t="shared" si="7"/>
        <v>22.229166666666668</v>
      </c>
      <c r="D14" s="2">
        <v>16</v>
      </c>
      <c r="E14" s="2">
        <v>16</v>
      </c>
      <c r="F14" s="2">
        <v>16</v>
      </c>
      <c r="G14" s="2">
        <v>16</v>
      </c>
      <c r="H14" s="2">
        <v>18</v>
      </c>
      <c r="I14" s="2">
        <v>18</v>
      </c>
      <c r="L14" s="2">
        <v>16</v>
      </c>
      <c r="M14" s="2">
        <v>18</v>
      </c>
      <c r="N14" s="2">
        <v>13</v>
      </c>
      <c r="O14" s="2">
        <v>20</v>
      </c>
      <c r="Q14">
        <f t="shared" si="0"/>
        <v>16</v>
      </c>
      <c r="R14">
        <f t="shared" si="1"/>
        <v>16</v>
      </c>
      <c r="S14">
        <f t="shared" si="6"/>
        <v>18</v>
      </c>
      <c r="U14">
        <f t="shared" si="4"/>
        <v>17</v>
      </c>
      <c r="V14">
        <f t="shared" si="5"/>
        <v>16.5</v>
      </c>
      <c r="BJ14" t="s">
        <v>15</v>
      </c>
      <c r="BK14" t="s">
        <v>16</v>
      </c>
      <c r="BL14" t="s">
        <v>17</v>
      </c>
      <c r="BM14">
        <v>1.5007999999999999</v>
      </c>
      <c r="BN14" t="s">
        <v>18</v>
      </c>
      <c r="BO14">
        <v>2.7601</v>
      </c>
    </row>
    <row r="15" spans="1:71" ht="14.4" x14ac:dyDescent="0.3">
      <c r="A15" s="3">
        <v>24</v>
      </c>
      <c r="B15" s="21">
        <v>18</v>
      </c>
      <c r="C15" s="3">
        <f>((24*A15)+(B15-12.5))/24</f>
        <v>24.229166666666668</v>
      </c>
      <c r="D15" s="2">
        <v>20</v>
      </c>
      <c r="E15" s="2">
        <v>20</v>
      </c>
      <c r="F15" s="2">
        <v>19</v>
      </c>
      <c r="G15" s="2">
        <v>20</v>
      </c>
      <c r="H15" s="2">
        <v>21</v>
      </c>
      <c r="I15" s="2">
        <v>19</v>
      </c>
      <c r="L15" s="2">
        <v>20</v>
      </c>
      <c r="M15" s="2">
        <v>20</v>
      </c>
      <c r="N15" s="2">
        <v>16</v>
      </c>
      <c r="O15" s="2">
        <v>21</v>
      </c>
      <c r="Q15">
        <f t="shared" si="0"/>
        <v>20</v>
      </c>
      <c r="R15">
        <f t="shared" si="1"/>
        <v>19.5</v>
      </c>
      <c r="S15">
        <f t="shared" si="6"/>
        <v>20</v>
      </c>
      <c r="U15">
        <f t="shared" si="4"/>
        <v>20</v>
      </c>
      <c r="V15">
        <f t="shared" si="5"/>
        <v>18.5</v>
      </c>
      <c r="BJ15" t="s">
        <v>15</v>
      </c>
    </row>
    <row r="16" spans="1:71" ht="14.4" x14ac:dyDescent="0.3">
      <c r="A16" s="3">
        <v>26</v>
      </c>
      <c r="B16">
        <v>19.5</v>
      </c>
      <c r="C16" s="3">
        <f>((24*A16)+(B16-12.5))/24</f>
        <v>26.291666666666668</v>
      </c>
      <c r="D16" s="2">
        <v>24</v>
      </c>
      <c r="E16" s="2">
        <v>24</v>
      </c>
      <c r="F16" s="2">
        <v>23</v>
      </c>
      <c r="G16" s="2">
        <v>25</v>
      </c>
      <c r="H16" s="2">
        <v>24</v>
      </c>
      <c r="I16" s="2">
        <v>25</v>
      </c>
      <c r="K16" s="2"/>
      <c r="L16" s="2">
        <v>22</v>
      </c>
      <c r="M16" s="2">
        <v>25</v>
      </c>
      <c r="N16" s="2">
        <v>20</v>
      </c>
      <c r="O16" s="2">
        <v>26</v>
      </c>
      <c r="Q16">
        <f t="shared" si="0"/>
        <v>24</v>
      </c>
      <c r="R16">
        <f t="shared" si="1"/>
        <v>24</v>
      </c>
      <c r="S16">
        <f t="shared" si="6"/>
        <v>24.5</v>
      </c>
      <c r="U16">
        <f t="shared" si="4"/>
        <v>23.5</v>
      </c>
      <c r="V16">
        <f t="shared" si="5"/>
        <v>23</v>
      </c>
    </row>
    <row r="17" spans="1:71" ht="14.4" x14ac:dyDescent="0.3">
      <c r="A17" s="3">
        <v>29</v>
      </c>
      <c r="B17">
        <v>13</v>
      </c>
      <c r="C17" s="3">
        <f>((24*A17)+(B17-12.5))/24</f>
        <v>29.020833333333332</v>
      </c>
      <c r="D17" s="2">
        <v>28</v>
      </c>
      <c r="E17" s="2">
        <v>29</v>
      </c>
      <c r="F17" s="2">
        <v>27</v>
      </c>
      <c r="G17" s="2">
        <v>30</v>
      </c>
      <c r="H17" s="2">
        <v>29</v>
      </c>
      <c r="I17" s="2">
        <v>28</v>
      </c>
      <c r="L17" s="2">
        <v>28</v>
      </c>
      <c r="M17" s="2">
        <v>31</v>
      </c>
      <c r="N17" s="2">
        <v>24</v>
      </c>
      <c r="O17" s="2">
        <v>32</v>
      </c>
      <c r="Q17">
        <f t="shared" si="0"/>
        <v>28.5</v>
      </c>
      <c r="R17">
        <f t="shared" si="1"/>
        <v>28.5</v>
      </c>
      <c r="S17">
        <f t="shared" si="6"/>
        <v>28.5</v>
      </c>
      <c r="U17">
        <f t="shared" si="4"/>
        <v>29.5</v>
      </c>
      <c r="V17">
        <f t="shared" si="5"/>
        <v>28</v>
      </c>
    </row>
    <row r="18" spans="1:71" ht="14.4" x14ac:dyDescent="0.3">
      <c r="A18" s="3">
        <v>31</v>
      </c>
      <c r="B18">
        <v>9.5</v>
      </c>
      <c r="C18" s="3">
        <f>((24*A18)+(B18-12.5))/24</f>
        <v>30.875</v>
      </c>
      <c r="D18" s="2">
        <v>32</v>
      </c>
      <c r="E18" s="2">
        <v>33</v>
      </c>
      <c r="F18" s="2">
        <v>29</v>
      </c>
      <c r="G18" s="2">
        <v>32</v>
      </c>
      <c r="H18" s="2">
        <v>32</v>
      </c>
      <c r="I18" s="2">
        <v>32</v>
      </c>
      <c r="L18" s="2">
        <v>32</v>
      </c>
      <c r="M18" s="2">
        <v>34</v>
      </c>
      <c r="N18" s="2">
        <v>27</v>
      </c>
      <c r="O18" s="2">
        <v>35</v>
      </c>
      <c r="Q18">
        <f t="shared" si="0"/>
        <v>32.5</v>
      </c>
      <c r="R18">
        <f t="shared" si="1"/>
        <v>30.5</v>
      </c>
      <c r="S18">
        <f t="shared" si="6"/>
        <v>32</v>
      </c>
      <c r="U18">
        <f t="shared" si="4"/>
        <v>33</v>
      </c>
      <c r="V18">
        <f t="shared" si="5"/>
        <v>31</v>
      </c>
      <c r="AY18" t="s">
        <v>49</v>
      </c>
      <c r="AZ18" t="s">
        <v>50</v>
      </c>
      <c r="BB18" t="s">
        <v>51</v>
      </c>
      <c r="BC18" t="s">
        <v>52</v>
      </c>
      <c r="BD18" t="s">
        <v>53</v>
      </c>
      <c r="BE18" t="s">
        <v>54</v>
      </c>
    </row>
    <row r="19" spans="1:71" ht="21" x14ac:dyDescent="0.4">
      <c r="C19" s="11">
        <v>0.99</v>
      </c>
    </row>
    <row r="20" spans="1:71" ht="14.4" thickBot="1" x14ac:dyDescent="0.3">
      <c r="BR20" s="17">
        <v>0.99</v>
      </c>
    </row>
    <row r="21" spans="1:71" ht="15" thickBot="1" x14ac:dyDescent="0.35">
      <c r="C21" s="3" t="s">
        <v>0</v>
      </c>
      <c r="D21" s="35">
        <v>1</v>
      </c>
      <c r="E21" s="34"/>
      <c r="F21" s="35">
        <v>2</v>
      </c>
      <c r="G21" s="34"/>
      <c r="H21" s="35">
        <v>3</v>
      </c>
      <c r="I21" s="34"/>
      <c r="J21" s="35">
        <v>4</v>
      </c>
      <c r="K21" s="34"/>
      <c r="L21" s="35">
        <v>5</v>
      </c>
      <c r="M21" s="34"/>
      <c r="N21" s="33">
        <v>6</v>
      </c>
      <c r="O21" s="34"/>
      <c r="Q21" s="4">
        <v>1</v>
      </c>
      <c r="R21" s="4">
        <v>2</v>
      </c>
      <c r="S21" s="4">
        <v>3</v>
      </c>
      <c r="T21" s="4">
        <v>4</v>
      </c>
      <c r="U21" s="4">
        <v>5</v>
      </c>
      <c r="V21" s="4">
        <v>6</v>
      </c>
      <c r="BK21">
        <v>9.5</v>
      </c>
      <c r="BL21">
        <v>8.5</v>
      </c>
      <c r="BM21">
        <v>7.5</v>
      </c>
      <c r="BN21">
        <v>6.5</v>
      </c>
      <c r="BO21">
        <v>7.5</v>
      </c>
      <c r="BP21">
        <v>7.5</v>
      </c>
    </row>
    <row r="22" spans="1:71" ht="14.4" x14ac:dyDescent="0.3">
      <c r="A22" s="3">
        <v>2</v>
      </c>
      <c r="B22" s="3">
        <v>20</v>
      </c>
      <c r="C22" s="3">
        <f>(48+7.5)/24</f>
        <v>2.3125</v>
      </c>
      <c r="D22" s="2">
        <v>9</v>
      </c>
      <c r="E22" s="2">
        <v>10</v>
      </c>
      <c r="F22" s="2">
        <v>9</v>
      </c>
      <c r="G22" s="2">
        <v>8</v>
      </c>
      <c r="H22" s="2"/>
      <c r="I22" s="2"/>
      <c r="J22" s="2">
        <v>6</v>
      </c>
      <c r="K22" s="2">
        <v>7</v>
      </c>
      <c r="L22" s="2"/>
      <c r="M22" s="2"/>
      <c r="N22" s="2"/>
      <c r="O22" s="2"/>
      <c r="Q22">
        <f t="shared" ref="Q22:Q35" si="8">SUM(D22:E22)/2</f>
        <v>9.5</v>
      </c>
      <c r="R22">
        <f>SUM(F22:G22)/2</f>
        <v>8.5</v>
      </c>
      <c r="S22">
        <v>7.5</v>
      </c>
      <c r="T22">
        <f t="shared" ref="T22:T35" si="9">SUM(J22:K22)/2</f>
        <v>6.5</v>
      </c>
      <c r="U22">
        <v>7.5</v>
      </c>
      <c r="V22">
        <v>7.5</v>
      </c>
      <c r="BJ22" s="5" t="s">
        <v>3</v>
      </c>
      <c r="BK22" s="6">
        <v>1</v>
      </c>
      <c r="BL22" s="6">
        <v>2</v>
      </c>
      <c r="BM22" s="6">
        <v>3</v>
      </c>
      <c r="BN22" s="6">
        <v>4</v>
      </c>
      <c r="BO22" s="6">
        <v>5</v>
      </c>
      <c r="BP22" s="6">
        <v>6</v>
      </c>
      <c r="BR22" s="13" t="s">
        <v>4</v>
      </c>
      <c r="BS22" s="14" t="s">
        <v>5</v>
      </c>
    </row>
    <row r="23" spans="1:71" ht="14.4" x14ac:dyDescent="0.3">
      <c r="A23" s="3">
        <v>4</v>
      </c>
      <c r="B23" s="12">
        <v>0.8125</v>
      </c>
      <c r="C23" s="3">
        <f>(96+7)/24</f>
        <v>4.291666666666667</v>
      </c>
      <c r="D23" s="2">
        <v>9</v>
      </c>
      <c r="E23" s="2">
        <v>10</v>
      </c>
      <c r="F23" s="2">
        <v>9</v>
      </c>
      <c r="G23" s="2">
        <v>10</v>
      </c>
      <c r="H23" s="2">
        <v>7</v>
      </c>
      <c r="I23" s="2">
        <v>8</v>
      </c>
      <c r="J23" s="2">
        <v>7</v>
      </c>
      <c r="K23" s="2">
        <v>7</v>
      </c>
      <c r="L23" s="2">
        <v>8</v>
      </c>
      <c r="M23" s="2">
        <v>7</v>
      </c>
      <c r="N23" s="2">
        <v>7</v>
      </c>
      <c r="O23" s="2">
        <v>8</v>
      </c>
      <c r="Q23">
        <f t="shared" si="8"/>
        <v>9.5</v>
      </c>
      <c r="R23">
        <f t="shared" ref="R23:R35" si="10">SUM(F23:G23)/2</f>
        <v>9.5</v>
      </c>
      <c r="S23">
        <f t="shared" ref="S23:S35" si="11">SUM(H23:I23)/2</f>
        <v>7.5</v>
      </c>
      <c r="T23">
        <f t="shared" si="9"/>
        <v>7</v>
      </c>
      <c r="U23">
        <f t="shared" ref="U23:U35" si="12">SUM(L23:M23)/2</f>
        <v>7.5</v>
      </c>
      <c r="V23">
        <f t="shared" ref="V23:V26" si="13">SUM(N23:O23)/2</f>
        <v>7.5</v>
      </c>
      <c r="BJ23" s="6" t="s">
        <v>6</v>
      </c>
      <c r="BK23" s="8">
        <f>BM26</f>
        <v>2.3733</v>
      </c>
      <c r="BL23" s="8">
        <f>BM27</f>
        <v>2.3245</v>
      </c>
      <c r="BM23" s="8">
        <f>BM28</f>
        <v>2.4211999999999998</v>
      </c>
      <c r="BN23" s="8">
        <f>BM29</f>
        <v>2.4020999999999999</v>
      </c>
      <c r="BO23" s="9">
        <f>BM30</f>
        <v>2.4661</v>
      </c>
      <c r="BP23" s="8">
        <f>BM31</f>
        <v>2.3239999999999998</v>
      </c>
      <c r="BR23" s="15">
        <f>SUM(BK23:BP23)/6</f>
        <v>2.3852000000000002</v>
      </c>
      <c r="BS23" s="15">
        <f>_xlfn.STDEV.P(BK23:BP23)/SQRT(6)</f>
        <v>2.0881916685123625E-2</v>
      </c>
    </row>
    <row r="24" spans="1:71" ht="14.4" x14ac:dyDescent="0.3">
      <c r="A24" s="3">
        <v>6</v>
      </c>
      <c r="B24" s="3">
        <v>21.25</v>
      </c>
      <c r="C24" s="3">
        <f>(144+9)/24</f>
        <v>6.375</v>
      </c>
      <c r="D24" s="2">
        <v>9</v>
      </c>
      <c r="E24" s="2">
        <v>10</v>
      </c>
      <c r="F24" s="2">
        <v>9</v>
      </c>
      <c r="G24" s="2">
        <v>10</v>
      </c>
      <c r="H24" s="2">
        <v>8</v>
      </c>
      <c r="I24" s="2">
        <v>10</v>
      </c>
      <c r="J24" s="2">
        <v>7</v>
      </c>
      <c r="K24" s="2">
        <v>7</v>
      </c>
      <c r="L24" s="2">
        <v>8</v>
      </c>
      <c r="M24" s="2">
        <v>8</v>
      </c>
      <c r="N24" s="2">
        <v>7</v>
      </c>
      <c r="O24" s="2">
        <v>8</v>
      </c>
      <c r="Q24">
        <f t="shared" si="8"/>
        <v>9.5</v>
      </c>
      <c r="R24">
        <f t="shared" si="10"/>
        <v>9.5</v>
      </c>
      <c r="S24">
        <f t="shared" si="11"/>
        <v>9</v>
      </c>
      <c r="T24">
        <f t="shared" si="9"/>
        <v>7</v>
      </c>
      <c r="U24">
        <f t="shared" si="12"/>
        <v>8</v>
      </c>
      <c r="V24">
        <f t="shared" si="13"/>
        <v>7.5</v>
      </c>
      <c r="BJ24" s="6" t="s">
        <v>7</v>
      </c>
      <c r="BK24" s="8">
        <f xml:space="preserve"> (9.5+BO26)/BK23</f>
        <v>11.295242910715038</v>
      </c>
      <c r="BL24" s="8">
        <f xml:space="preserve"> (8.5+BO27)/BL23</f>
        <v>11.224349322434932</v>
      </c>
      <c r="BM24" s="8">
        <f xml:space="preserve"> (7.5+BO28)/BM23</f>
        <v>11.174211134974394</v>
      </c>
      <c r="BN24" s="8">
        <f xml:space="preserve"> (6.5+BO29)/BN23</f>
        <v>10.410890470838018</v>
      </c>
      <c r="BO24" s="8">
        <f xml:space="preserve"> (7.5+BO30)/BO23</f>
        <v>9.203195328656582</v>
      </c>
      <c r="BP24" s="8">
        <f xml:space="preserve"> (7.5+BO31)/BP23</f>
        <v>10.512048192771084</v>
      </c>
      <c r="BR24" s="15">
        <f>SUM(BK24:BP24)/6</f>
        <v>10.636656226731676</v>
      </c>
      <c r="BS24" s="15">
        <f>_xlfn.STDEV.P(BK24:BP24)/SQRT(6)</f>
        <v>0.297647832523107</v>
      </c>
    </row>
    <row r="25" spans="1:71" ht="14.4" x14ac:dyDescent="0.3">
      <c r="A25" s="3">
        <v>8</v>
      </c>
      <c r="B25" s="12">
        <v>0.70833333333333337</v>
      </c>
      <c r="C25" s="3">
        <f>(192+4.5)/24</f>
        <v>8.1875</v>
      </c>
      <c r="D25" s="2">
        <v>9</v>
      </c>
      <c r="E25" s="2">
        <v>10</v>
      </c>
      <c r="F25" s="2">
        <v>9</v>
      </c>
      <c r="G25" s="2">
        <v>10</v>
      </c>
      <c r="H25" s="2">
        <v>9</v>
      </c>
      <c r="I25" s="2">
        <v>10</v>
      </c>
      <c r="J25" s="2">
        <v>7</v>
      </c>
      <c r="K25" s="2">
        <v>7</v>
      </c>
      <c r="L25" s="2">
        <v>9</v>
      </c>
      <c r="M25" s="2">
        <v>9</v>
      </c>
      <c r="N25" s="2">
        <v>9</v>
      </c>
      <c r="O25" s="2">
        <v>9</v>
      </c>
      <c r="Q25">
        <f t="shared" si="8"/>
        <v>9.5</v>
      </c>
      <c r="R25">
        <f t="shared" si="10"/>
        <v>9.5</v>
      </c>
      <c r="S25">
        <f t="shared" si="11"/>
        <v>9.5</v>
      </c>
      <c r="T25">
        <f t="shared" si="9"/>
        <v>7</v>
      </c>
      <c r="U25">
        <f t="shared" si="12"/>
        <v>9</v>
      </c>
      <c r="V25">
        <f t="shared" si="13"/>
        <v>9</v>
      </c>
    </row>
    <row r="26" spans="1:71" ht="14.4" x14ac:dyDescent="0.3">
      <c r="A26" s="3">
        <v>10</v>
      </c>
      <c r="B26" s="12">
        <v>0.75694444444444453</v>
      </c>
      <c r="C26" s="3">
        <f>(240+5.6)/24</f>
        <v>10.233333333333333</v>
      </c>
      <c r="D26" s="2">
        <v>9</v>
      </c>
      <c r="E26" s="2">
        <v>10</v>
      </c>
      <c r="F26" s="2">
        <v>9</v>
      </c>
      <c r="G26" s="2">
        <v>10</v>
      </c>
      <c r="H26" s="2">
        <v>9</v>
      </c>
      <c r="I26" s="2">
        <v>10</v>
      </c>
      <c r="J26" s="2">
        <v>9</v>
      </c>
      <c r="K26" s="2">
        <v>8</v>
      </c>
      <c r="L26" s="2">
        <v>9</v>
      </c>
      <c r="M26" s="2">
        <v>9</v>
      </c>
      <c r="N26" s="2">
        <v>9</v>
      </c>
      <c r="O26" s="2">
        <v>11</v>
      </c>
      <c r="Q26">
        <f t="shared" si="8"/>
        <v>9.5</v>
      </c>
      <c r="R26">
        <f t="shared" si="10"/>
        <v>9.5</v>
      </c>
      <c r="S26">
        <f t="shared" si="11"/>
        <v>9.5</v>
      </c>
      <c r="T26">
        <f t="shared" si="9"/>
        <v>8.5</v>
      </c>
      <c r="U26">
        <f t="shared" si="12"/>
        <v>9</v>
      </c>
      <c r="V26">
        <f t="shared" si="13"/>
        <v>10</v>
      </c>
      <c r="BJ26" t="s">
        <v>15</v>
      </c>
      <c r="BK26" t="s">
        <v>16</v>
      </c>
      <c r="BL26" t="s">
        <v>17</v>
      </c>
      <c r="BM26">
        <v>2.3733</v>
      </c>
      <c r="BN26" t="s">
        <v>18</v>
      </c>
      <c r="BO26">
        <v>17.306999999999999</v>
      </c>
    </row>
    <row r="27" spans="1:71" ht="14.4" x14ac:dyDescent="0.3">
      <c r="A27" s="3">
        <v>13</v>
      </c>
      <c r="B27" s="12">
        <v>0.54166666666666663</v>
      </c>
      <c r="C27" s="3">
        <f>(312+0.5)/24</f>
        <v>13.020833333333334</v>
      </c>
      <c r="D27" s="2">
        <v>13</v>
      </c>
      <c r="E27" s="2">
        <v>12</v>
      </c>
      <c r="F27" s="2">
        <v>13</v>
      </c>
      <c r="G27" s="2">
        <v>13</v>
      </c>
      <c r="H27" s="2">
        <v>12</v>
      </c>
      <c r="I27" s="2">
        <v>12</v>
      </c>
      <c r="J27" s="2">
        <v>12</v>
      </c>
      <c r="K27" s="2">
        <v>12</v>
      </c>
      <c r="L27" s="2">
        <v>13</v>
      </c>
      <c r="M27" s="2">
        <v>12</v>
      </c>
      <c r="N27" s="2">
        <v>12</v>
      </c>
      <c r="O27" s="2">
        <v>12</v>
      </c>
      <c r="Q27">
        <f t="shared" si="8"/>
        <v>12.5</v>
      </c>
      <c r="R27">
        <f t="shared" si="10"/>
        <v>13</v>
      </c>
      <c r="S27">
        <f t="shared" si="11"/>
        <v>12</v>
      </c>
      <c r="T27">
        <f t="shared" si="9"/>
        <v>12</v>
      </c>
      <c r="U27">
        <f t="shared" si="12"/>
        <v>12.5</v>
      </c>
      <c r="V27">
        <f t="shared" ref="V27:V35" si="14">SUM(N27:O27)/2</f>
        <v>12</v>
      </c>
      <c r="BJ27" t="s">
        <v>15</v>
      </c>
      <c r="BK27" t="s">
        <v>16</v>
      </c>
      <c r="BL27" t="s">
        <v>17</v>
      </c>
      <c r="BM27">
        <v>2.3245</v>
      </c>
      <c r="BN27" t="s">
        <v>18</v>
      </c>
      <c r="BO27">
        <v>17.591000000000001</v>
      </c>
    </row>
    <row r="28" spans="1:71" ht="14.4" x14ac:dyDescent="0.3">
      <c r="A28" s="3">
        <v>15</v>
      </c>
      <c r="B28" s="12">
        <v>0.72916666666666663</v>
      </c>
      <c r="C28" s="3">
        <f>((24*A28)+5)/24</f>
        <v>15.208333333333334</v>
      </c>
      <c r="D28" s="2">
        <v>18</v>
      </c>
      <c r="E28" s="2">
        <v>17</v>
      </c>
      <c r="F28" s="2">
        <v>15</v>
      </c>
      <c r="G28" s="2">
        <v>19</v>
      </c>
      <c r="H28" s="2">
        <v>15</v>
      </c>
      <c r="I28" s="2">
        <v>17</v>
      </c>
      <c r="J28" s="2">
        <v>15</v>
      </c>
      <c r="K28" s="2">
        <v>15</v>
      </c>
      <c r="L28" s="2">
        <v>16</v>
      </c>
      <c r="M28" s="2">
        <v>16</v>
      </c>
      <c r="N28" s="2">
        <v>16</v>
      </c>
      <c r="O28" s="2">
        <v>16</v>
      </c>
      <c r="Q28">
        <f t="shared" si="8"/>
        <v>17.5</v>
      </c>
      <c r="R28">
        <f t="shared" si="10"/>
        <v>17</v>
      </c>
      <c r="S28">
        <f t="shared" si="11"/>
        <v>16</v>
      </c>
      <c r="T28">
        <f t="shared" si="9"/>
        <v>15</v>
      </c>
      <c r="U28">
        <f t="shared" si="12"/>
        <v>16</v>
      </c>
      <c r="V28">
        <f t="shared" si="14"/>
        <v>16</v>
      </c>
      <c r="BJ28" t="s">
        <v>15</v>
      </c>
      <c r="BK28" t="s">
        <v>16</v>
      </c>
      <c r="BL28" t="s">
        <v>17</v>
      </c>
      <c r="BM28">
        <v>2.4211999999999998</v>
      </c>
      <c r="BN28" t="s">
        <v>18</v>
      </c>
      <c r="BO28">
        <v>19.555</v>
      </c>
    </row>
    <row r="29" spans="1:71" ht="14.4" x14ac:dyDescent="0.3">
      <c r="A29" s="3">
        <v>17</v>
      </c>
      <c r="B29" s="12">
        <v>0.71875</v>
      </c>
      <c r="C29" s="3">
        <f>((24*A29)+4.75)/24</f>
        <v>17.197916666666668</v>
      </c>
      <c r="D29" s="2">
        <v>22</v>
      </c>
      <c r="E29" s="2">
        <v>23</v>
      </c>
      <c r="F29" s="2">
        <v>20</v>
      </c>
      <c r="G29" s="2">
        <v>24</v>
      </c>
      <c r="H29" s="2">
        <v>20</v>
      </c>
      <c r="I29" s="2">
        <v>21</v>
      </c>
      <c r="J29" s="2">
        <v>21</v>
      </c>
      <c r="K29" s="2">
        <v>20</v>
      </c>
      <c r="L29" s="2">
        <v>22</v>
      </c>
      <c r="M29" s="2">
        <v>21</v>
      </c>
      <c r="N29" s="2">
        <v>20</v>
      </c>
      <c r="O29" s="2">
        <v>21</v>
      </c>
      <c r="Q29">
        <f t="shared" si="8"/>
        <v>22.5</v>
      </c>
      <c r="R29">
        <f t="shared" si="10"/>
        <v>22</v>
      </c>
      <c r="S29">
        <f t="shared" si="11"/>
        <v>20.5</v>
      </c>
      <c r="T29">
        <f t="shared" si="9"/>
        <v>20.5</v>
      </c>
      <c r="U29">
        <f t="shared" si="12"/>
        <v>21.5</v>
      </c>
      <c r="V29">
        <f t="shared" si="14"/>
        <v>20.5</v>
      </c>
      <c r="BJ29" t="s">
        <v>15</v>
      </c>
      <c r="BK29" t="s">
        <v>16</v>
      </c>
      <c r="BL29" t="s">
        <v>17</v>
      </c>
      <c r="BM29">
        <v>2.4020999999999999</v>
      </c>
      <c r="BN29" t="s">
        <v>18</v>
      </c>
      <c r="BO29">
        <v>18.507999999999999</v>
      </c>
    </row>
    <row r="30" spans="1:71" ht="14.4" x14ac:dyDescent="0.3">
      <c r="A30" s="3">
        <v>20</v>
      </c>
      <c r="B30" s="3">
        <v>14.5</v>
      </c>
      <c r="C30" s="3">
        <f t="shared" ref="C30:C31" si="15">((24*A30)+(B30-12.5))/24</f>
        <v>20.083333333333332</v>
      </c>
      <c r="D30" s="2">
        <v>24</v>
      </c>
      <c r="E30" s="2">
        <v>28</v>
      </c>
      <c r="F30" s="2">
        <v>30</v>
      </c>
      <c r="G30" s="2">
        <v>30</v>
      </c>
      <c r="H30" s="2">
        <v>27</v>
      </c>
      <c r="I30" s="2">
        <v>30</v>
      </c>
      <c r="J30" s="2">
        <v>28</v>
      </c>
      <c r="K30" s="2">
        <v>28</v>
      </c>
      <c r="L30" s="2">
        <v>29</v>
      </c>
      <c r="M30" s="2">
        <v>30</v>
      </c>
      <c r="N30" s="2">
        <v>29</v>
      </c>
      <c r="O30" s="2">
        <v>27</v>
      </c>
      <c r="Q30">
        <f t="shared" si="8"/>
        <v>26</v>
      </c>
      <c r="R30">
        <f t="shared" si="10"/>
        <v>30</v>
      </c>
      <c r="S30">
        <f t="shared" si="11"/>
        <v>28.5</v>
      </c>
      <c r="T30">
        <f t="shared" si="9"/>
        <v>28</v>
      </c>
      <c r="U30">
        <f t="shared" si="12"/>
        <v>29.5</v>
      </c>
      <c r="V30">
        <f t="shared" si="14"/>
        <v>28</v>
      </c>
      <c r="BJ30" t="s">
        <v>15</v>
      </c>
      <c r="BK30" t="s">
        <v>16</v>
      </c>
      <c r="BL30" t="s">
        <v>17</v>
      </c>
      <c r="BM30">
        <v>2.4661</v>
      </c>
      <c r="BN30" t="s">
        <v>18</v>
      </c>
      <c r="BO30">
        <v>15.196</v>
      </c>
    </row>
    <row r="31" spans="1:71" ht="14.4" x14ac:dyDescent="0.3">
      <c r="A31" s="3">
        <v>22</v>
      </c>
      <c r="B31" s="19">
        <v>18</v>
      </c>
      <c r="C31" s="3">
        <f t="shared" si="15"/>
        <v>22.229166666666668</v>
      </c>
      <c r="D31" s="2">
        <v>35</v>
      </c>
      <c r="E31" s="2">
        <v>35</v>
      </c>
      <c r="F31" s="2">
        <v>34</v>
      </c>
      <c r="G31" s="2">
        <v>37</v>
      </c>
      <c r="H31" s="2">
        <v>32</v>
      </c>
      <c r="I31" s="2">
        <v>34</v>
      </c>
      <c r="J31" s="2">
        <v>34</v>
      </c>
      <c r="K31" s="2">
        <v>32</v>
      </c>
      <c r="L31" s="2">
        <v>33</v>
      </c>
      <c r="M31" s="2">
        <v>35</v>
      </c>
      <c r="N31" s="2">
        <v>34</v>
      </c>
      <c r="O31" s="2">
        <v>33</v>
      </c>
      <c r="Q31">
        <f t="shared" si="8"/>
        <v>35</v>
      </c>
      <c r="R31">
        <f t="shared" si="10"/>
        <v>35.5</v>
      </c>
      <c r="S31">
        <f t="shared" si="11"/>
        <v>33</v>
      </c>
      <c r="T31">
        <f t="shared" si="9"/>
        <v>33</v>
      </c>
      <c r="U31">
        <f t="shared" si="12"/>
        <v>34</v>
      </c>
      <c r="V31">
        <f t="shared" si="14"/>
        <v>33.5</v>
      </c>
      <c r="BJ31" t="s">
        <v>15</v>
      </c>
      <c r="BK31" t="s">
        <v>16</v>
      </c>
      <c r="BL31" t="s">
        <v>17</v>
      </c>
      <c r="BM31">
        <v>2.3239999999999998</v>
      </c>
      <c r="BN31" t="s">
        <v>18</v>
      </c>
      <c r="BO31">
        <v>16.93</v>
      </c>
    </row>
    <row r="32" spans="1:71" ht="14.4" x14ac:dyDescent="0.3">
      <c r="A32" s="3">
        <v>24</v>
      </c>
      <c r="B32" s="21">
        <v>18</v>
      </c>
      <c r="C32" s="3">
        <f>((24*A32)+(B32-12.5))/24</f>
        <v>24.229166666666668</v>
      </c>
      <c r="D32" s="2">
        <v>41</v>
      </c>
      <c r="E32" s="2">
        <v>40</v>
      </c>
      <c r="F32" s="2">
        <v>40</v>
      </c>
      <c r="G32" s="2">
        <v>41</v>
      </c>
      <c r="H32" s="2">
        <v>39</v>
      </c>
      <c r="I32" s="2">
        <v>40</v>
      </c>
      <c r="J32" s="2">
        <v>39</v>
      </c>
      <c r="K32" s="2">
        <v>41</v>
      </c>
      <c r="L32" s="2">
        <v>40</v>
      </c>
      <c r="M32" s="2">
        <v>40</v>
      </c>
      <c r="N32" s="2">
        <v>38</v>
      </c>
      <c r="O32" s="2">
        <v>39</v>
      </c>
      <c r="Q32">
        <f t="shared" si="8"/>
        <v>40.5</v>
      </c>
      <c r="R32">
        <f t="shared" si="10"/>
        <v>40.5</v>
      </c>
      <c r="S32">
        <f t="shared" si="11"/>
        <v>39.5</v>
      </c>
      <c r="T32">
        <f t="shared" si="9"/>
        <v>40</v>
      </c>
      <c r="U32">
        <f t="shared" si="12"/>
        <v>40</v>
      </c>
      <c r="V32">
        <f t="shared" si="14"/>
        <v>38.5</v>
      </c>
    </row>
    <row r="33" spans="1:22" ht="14.4" x14ac:dyDescent="0.3">
      <c r="A33" s="3">
        <v>26</v>
      </c>
      <c r="B33">
        <v>19.5</v>
      </c>
      <c r="C33" s="3">
        <f t="shared" ref="C33:C34" si="16">((24*A33)+(B33-12.5))/24</f>
        <v>26.291666666666668</v>
      </c>
      <c r="D33" s="2">
        <v>47</v>
      </c>
      <c r="E33" s="2">
        <v>46</v>
      </c>
      <c r="F33" s="2">
        <v>46</v>
      </c>
      <c r="G33" s="2">
        <v>48</v>
      </c>
      <c r="H33" s="2">
        <v>45</v>
      </c>
      <c r="I33" s="2">
        <v>45</v>
      </c>
      <c r="J33" s="2">
        <v>45</v>
      </c>
      <c r="K33" s="2">
        <v>45</v>
      </c>
      <c r="L33" s="2">
        <v>46</v>
      </c>
      <c r="M33" s="2">
        <v>44</v>
      </c>
      <c r="N33" s="2">
        <v>45</v>
      </c>
      <c r="O33" s="2">
        <v>45</v>
      </c>
      <c r="Q33">
        <f t="shared" si="8"/>
        <v>46.5</v>
      </c>
      <c r="R33">
        <f t="shared" si="10"/>
        <v>47</v>
      </c>
      <c r="S33">
        <f t="shared" si="11"/>
        <v>45</v>
      </c>
      <c r="T33">
        <f t="shared" si="9"/>
        <v>45</v>
      </c>
      <c r="U33">
        <f t="shared" si="12"/>
        <v>45</v>
      </c>
      <c r="V33">
        <f t="shared" si="14"/>
        <v>45</v>
      </c>
    </row>
    <row r="34" spans="1:22" ht="14.4" x14ac:dyDescent="0.3">
      <c r="A34" s="3">
        <v>29</v>
      </c>
      <c r="B34">
        <v>13</v>
      </c>
      <c r="C34" s="3">
        <f t="shared" si="16"/>
        <v>29.020833333333332</v>
      </c>
      <c r="D34" s="2">
        <v>53</v>
      </c>
      <c r="E34" s="2">
        <v>50</v>
      </c>
      <c r="F34" s="2">
        <v>53</v>
      </c>
      <c r="G34" s="2">
        <v>50</v>
      </c>
      <c r="H34" s="2">
        <v>51</v>
      </c>
      <c r="I34" s="2">
        <v>50</v>
      </c>
      <c r="J34" s="2">
        <v>50</v>
      </c>
      <c r="K34" s="2">
        <v>53</v>
      </c>
      <c r="L34" s="2">
        <v>52</v>
      </c>
      <c r="M34" s="2">
        <v>51</v>
      </c>
      <c r="N34" s="2">
        <v>52</v>
      </c>
      <c r="O34" s="2">
        <v>52</v>
      </c>
      <c r="Q34">
        <f t="shared" si="8"/>
        <v>51.5</v>
      </c>
      <c r="R34">
        <f t="shared" si="10"/>
        <v>51.5</v>
      </c>
      <c r="S34">
        <f t="shared" si="11"/>
        <v>50.5</v>
      </c>
      <c r="T34">
        <f t="shared" si="9"/>
        <v>51.5</v>
      </c>
      <c r="U34">
        <f t="shared" si="12"/>
        <v>51.5</v>
      </c>
      <c r="V34">
        <f t="shared" si="14"/>
        <v>52</v>
      </c>
    </row>
    <row r="35" spans="1:22" ht="14.4" x14ac:dyDescent="0.3">
      <c r="A35" s="3">
        <v>31</v>
      </c>
      <c r="B35">
        <v>9.5</v>
      </c>
      <c r="C35" s="3">
        <f>((24*A35)+(B35-12.5))/24</f>
        <v>30.875</v>
      </c>
      <c r="D35" s="2">
        <v>55</v>
      </c>
      <c r="E35" s="2">
        <v>52</v>
      </c>
      <c r="F35" s="2">
        <v>56</v>
      </c>
      <c r="G35" s="2">
        <v>55</v>
      </c>
      <c r="H35" s="2">
        <v>55</v>
      </c>
      <c r="I35" s="2">
        <v>53</v>
      </c>
      <c r="J35" s="2">
        <v>54</v>
      </c>
      <c r="K35" s="2">
        <v>57</v>
      </c>
      <c r="L35" s="2">
        <v>57</v>
      </c>
      <c r="M35" s="2">
        <v>56</v>
      </c>
      <c r="N35" s="2">
        <v>57</v>
      </c>
      <c r="O35" s="2">
        <v>54</v>
      </c>
      <c r="Q35">
        <f t="shared" si="8"/>
        <v>53.5</v>
      </c>
      <c r="R35">
        <f t="shared" si="10"/>
        <v>55.5</v>
      </c>
      <c r="S35">
        <f t="shared" si="11"/>
        <v>54</v>
      </c>
      <c r="T35">
        <f t="shared" si="9"/>
        <v>55.5</v>
      </c>
      <c r="U35">
        <f t="shared" si="12"/>
        <v>56.5</v>
      </c>
      <c r="V35">
        <f t="shared" si="14"/>
        <v>55.5</v>
      </c>
    </row>
  </sheetData>
  <mergeCells count="12">
    <mergeCell ref="N21:O21"/>
    <mergeCell ref="D4:E4"/>
    <mergeCell ref="F4:G4"/>
    <mergeCell ref="H4:I4"/>
    <mergeCell ref="J4:K4"/>
    <mergeCell ref="L4:M4"/>
    <mergeCell ref="N4:O4"/>
    <mergeCell ref="D21:E21"/>
    <mergeCell ref="F21:G21"/>
    <mergeCell ref="H21:I21"/>
    <mergeCell ref="J21:K21"/>
    <mergeCell ref="L21:M21"/>
  </mergeCells>
  <pageMargins left="0.7" right="0.7" top="0.75" bottom="0.75" header="0.3" footer="0.3"/>
  <pageSetup paperSize="25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C1:T51"/>
  <sheetViews>
    <sheetView topLeftCell="B26" zoomScale="80" zoomScaleNormal="80" workbookViewId="0">
      <selection activeCell="I31" sqref="I31"/>
    </sheetView>
  </sheetViews>
  <sheetFormatPr defaultRowHeight="13.8" x14ac:dyDescent="0.25"/>
  <cols>
    <col min="3" max="3" width="19" bestFit="1" customWidth="1"/>
    <col min="4" max="4" width="4.19921875" bestFit="1" customWidth="1"/>
    <col min="5" max="5" width="14.59765625" bestFit="1" customWidth="1"/>
    <col min="6" max="6" width="13.19921875" bestFit="1" customWidth="1"/>
    <col min="10" max="10" width="19" bestFit="1" customWidth="1"/>
    <col min="12" max="12" width="19.69921875" bestFit="1" customWidth="1"/>
    <col min="13" max="13" width="10.19921875" bestFit="1" customWidth="1"/>
    <col min="20" max="20" width="100.19921875" bestFit="1" customWidth="1"/>
  </cols>
  <sheetData>
    <row r="1" spans="3:20" ht="27.6" x14ac:dyDescent="0.25">
      <c r="F1" s="20" t="s">
        <v>41</v>
      </c>
      <c r="G1" t="s">
        <v>5</v>
      </c>
      <c r="H1" t="s">
        <v>42</v>
      </c>
      <c r="I1" t="s">
        <v>5</v>
      </c>
    </row>
    <row r="2" spans="3:20" x14ac:dyDescent="0.25">
      <c r="F2" s="40" t="s">
        <v>12</v>
      </c>
      <c r="G2" s="40"/>
      <c r="H2" s="40" t="s">
        <v>11</v>
      </c>
      <c r="I2" s="40"/>
    </row>
    <row r="3" spans="3:20" x14ac:dyDescent="0.25">
      <c r="C3" s="43" t="s">
        <v>1</v>
      </c>
      <c r="D3" s="40" t="s">
        <v>38</v>
      </c>
      <c r="E3">
        <v>0.97</v>
      </c>
      <c r="F3">
        <v>1.57952</v>
      </c>
      <c r="G3">
        <v>3.3763322111427387E-2</v>
      </c>
      <c r="H3">
        <v>13.14549112735801</v>
      </c>
      <c r="I3">
        <v>1.9161028247141676</v>
      </c>
    </row>
    <row r="4" spans="3:20" x14ac:dyDescent="0.25">
      <c r="C4" s="43"/>
      <c r="D4" s="40"/>
      <c r="E4">
        <v>0.99</v>
      </c>
      <c r="F4">
        <v>2.3852000000000002</v>
      </c>
      <c r="G4">
        <v>2.0881916685123625E-2</v>
      </c>
      <c r="H4">
        <v>10.636656226731676</v>
      </c>
      <c r="I4">
        <v>0.297647832523107</v>
      </c>
    </row>
    <row r="5" spans="3:20" x14ac:dyDescent="0.25">
      <c r="C5" s="43"/>
      <c r="D5" s="40" t="s">
        <v>39</v>
      </c>
      <c r="E5">
        <v>0.97</v>
      </c>
      <c r="F5">
        <v>3.02332</v>
      </c>
      <c r="G5">
        <v>3.5475753973664891E-2</v>
      </c>
      <c r="H5">
        <v>7.5273728566541038</v>
      </c>
      <c r="I5">
        <v>0.34357587230220227</v>
      </c>
    </row>
    <row r="6" spans="3:20" x14ac:dyDescent="0.25">
      <c r="C6" s="43"/>
      <c r="D6" s="40"/>
      <c r="E6">
        <v>0.99</v>
      </c>
      <c r="F6">
        <v>5.0796999999999999</v>
      </c>
      <c r="G6">
        <v>3.9172935668505784E-2</v>
      </c>
      <c r="H6">
        <v>4.259213383576899</v>
      </c>
      <c r="I6">
        <v>8.8086030560699649E-2</v>
      </c>
    </row>
    <row r="7" spans="3:20" x14ac:dyDescent="0.25">
      <c r="C7" s="43"/>
      <c r="D7" s="40" t="s">
        <v>40</v>
      </c>
      <c r="E7">
        <v>0.97</v>
      </c>
      <c r="F7">
        <v>5.7279000000000009</v>
      </c>
      <c r="G7">
        <v>4.8113349960737961E-2</v>
      </c>
      <c r="H7">
        <v>3.5840746269165895</v>
      </c>
      <c r="I7">
        <v>0.2513647546548719</v>
      </c>
    </row>
    <row r="8" spans="3:20" x14ac:dyDescent="0.25">
      <c r="C8" s="43"/>
      <c r="D8" s="40"/>
      <c r="E8">
        <v>0.99</v>
      </c>
      <c r="F8">
        <v>9.2111833333333326</v>
      </c>
      <c r="G8">
        <v>4.1040910596532774E-2</v>
      </c>
      <c r="H8">
        <v>1.7564326136194472</v>
      </c>
      <c r="I8">
        <v>3.3886556272669545E-2</v>
      </c>
      <c r="S8" s="1" t="s">
        <v>57</v>
      </c>
      <c r="T8" t="s">
        <v>84</v>
      </c>
    </row>
    <row r="9" spans="3:20" ht="13.8" customHeight="1" x14ac:dyDescent="0.25">
      <c r="C9" s="24"/>
      <c r="S9" s="1" t="s">
        <v>39</v>
      </c>
      <c r="T9" t="s">
        <v>84</v>
      </c>
    </row>
    <row r="10" spans="3:20" ht="13.8" customHeight="1" x14ac:dyDescent="0.25">
      <c r="C10" s="24"/>
      <c r="E10" s="1" t="s">
        <v>59</v>
      </c>
      <c r="S10" s="1" t="s">
        <v>40</v>
      </c>
      <c r="T10" t="s">
        <v>84</v>
      </c>
    </row>
    <row r="11" spans="3:20" ht="13.8" customHeight="1" x14ac:dyDescent="0.25">
      <c r="C11" s="24"/>
      <c r="E11">
        <v>0.97</v>
      </c>
      <c r="G11">
        <v>0.99</v>
      </c>
      <c r="S11" s="1"/>
    </row>
    <row r="12" spans="3:20" ht="13.8" customHeight="1" x14ac:dyDescent="0.25">
      <c r="D12" s="25" t="s">
        <v>57</v>
      </c>
      <c r="E12">
        <v>1.57952</v>
      </c>
      <c r="F12">
        <v>3.3763322111427387E-2</v>
      </c>
      <c r="G12">
        <v>2.3852000000000002</v>
      </c>
      <c r="H12">
        <v>2.0881916685123625E-2</v>
      </c>
    </row>
    <row r="13" spans="3:20" ht="13.8" customHeight="1" x14ac:dyDescent="0.25">
      <c r="D13" t="s">
        <v>58</v>
      </c>
      <c r="E13">
        <v>3.02332</v>
      </c>
      <c r="F13">
        <v>3.5475753973664891E-2</v>
      </c>
      <c r="G13">
        <v>5.0796999999999999</v>
      </c>
      <c r="H13">
        <v>3.9172935668505784E-2</v>
      </c>
    </row>
    <row r="14" spans="3:20" ht="13.8" customHeight="1" x14ac:dyDescent="0.25">
      <c r="D14" t="s">
        <v>40</v>
      </c>
      <c r="E14">
        <v>5.7279000000000009</v>
      </c>
      <c r="F14">
        <v>4.8113349960737961E-2</v>
      </c>
      <c r="G14">
        <v>9.2111833333333326</v>
      </c>
      <c r="H14">
        <v>4.1040910596532774E-2</v>
      </c>
    </row>
    <row r="17" spans="4:20" x14ac:dyDescent="0.25">
      <c r="E17" s="1" t="s">
        <v>60</v>
      </c>
    </row>
    <row r="18" spans="4:20" x14ac:dyDescent="0.25">
      <c r="E18">
        <v>0.97</v>
      </c>
      <c r="G18">
        <v>0.99</v>
      </c>
    </row>
    <row r="19" spans="4:20" x14ac:dyDescent="0.25">
      <c r="D19" s="25" t="s">
        <v>57</v>
      </c>
      <c r="E19">
        <v>13.14549112735801</v>
      </c>
      <c r="F19">
        <v>1.9161028247141676</v>
      </c>
      <c r="G19">
        <v>10.636656226731676</v>
      </c>
      <c r="H19">
        <v>0.297647832523107</v>
      </c>
    </row>
    <row r="20" spans="4:20" x14ac:dyDescent="0.25">
      <c r="D20" t="s">
        <v>58</v>
      </c>
      <c r="E20">
        <v>7.5273728566541038</v>
      </c>
      <c r="F20">
        <v>0.34357587230220227</v>
      </c>
      <c r="G20">
        <v>4.259213383576899</v>
      </c>
      <c r="H20">
        <v>8.8086030560699649E-2</v>
      </c>
    </row>
    <row r="21" spans="4:20" x14ac:dyDescent="0.25">
      <c r="D21" t="s">
        <v>40</v>
      </c>
      <c r="E21">
        <v>3.5840746269165895</v>
      </c>
      <c r="F21">
        <v>0.2513647546548719</v>
      </c>
      <c r="G21">
        <v>1.7564326136194472</v>
      </c>
      <c r="H21">
        <v>3.3886556272669545E-2</v>
      </c>
    </row>
    <row r="26" spans="4:20" x14ac:dyDescent="0.25">
      <c r="S26" s="1" t="s">
        <v>57</v>
      </c>
      <c r="T26" t="s">
        <v>85</v>
      </c>
    </row>
    <row r="27" spans="4:20" x14ac:dyDescent="0.25">
      <c r="S27" s="1" t="s">
        <v>39</v>
      </c>
      <c r="T27" t="s">
        <v>88</v>
      </c>
    </row>
    <row r="28" spans="4:20" x14ac:dyDescent="0.25">
      <c r="S28" s="1" t="s">
        <v>40</v>
      </c>
      <c r="T28" t="s">
        <v>88</v>
      </c>
    </row>
    <row r="31" spans="4:20" x14ac:dyDescent="0.25">
      <c r="H31" t="s">
        <v>86</v>
      </c>
      <c r="I31" t="s">
        <v>87</v>
      </c>
    </row>
    <row r="32" spans="4:20" x14ac:dyDescent="0.25">
      <c r="E32" s="44" t="s">
        <v>70</v>
      </c>
      <c r="F32" s="49" t="s">
        <v>64</v>
      </c>
      <c r="G32" s="9" t="s">
        <v>38</v>
      </c>
      <c r="H32" s="9"/>
      <c r="I32" s="9" t="s">
        <v>68</v>
      </c>
    </row>
    <row r="33" spans="5:10" x14ac:dyDescent="0.25">
      <c r="E33" s="45"/>
      <c r="F33" s="49"/>
      <c r="G33" s="9" t="s">
        <v>39</v>
      </c>
      <c r="H33" s="9"/>
      <c r="I33" s="9" t="s">
        <v>68</v>
      </c>
    </row>
    <row r="34" spans="5:10" x14ac:dyDescent="0.25">
      <c r="E34" s="45"/>
      <c r="F34" s="49"/>
      <c r="G34" s="9" t="s">
        <v>40</v>
      </c>
      <c r="H34" s="9"/>
      <c r="I34" s="9" t="s">
        <v>68</v>
      </c>
    </row>
    <row r="35" spans="5:10" x14ac:dyDescent="0.25">
      <c r="E35" s="45"/>
      <c r="F35" s="49" t="s">
        <v>65</v>
      </c>
      <c r="G35" s="9" t="s">
        <v>38</v>
      </c>
      <c r="H35" s="9" t="s">
        <v>68</v>
      </c>
      <c r="I35" s="9" t="s">
        <v>68</v>
      </c>
    </row>
    <row r="36" spans="5:10" x14ac:dyDescent="0.25">
      <c r="E36" s="45"/>
      <c r="F36" s="49"/>
      <c r="G36" s="9" t="s">
        <v>39</v>
      </c>
      <c r="H36" s="9"/>
      <c r="I36" s="9" t="s">
        <v>68</v>
      </c>
    </row>
    <row r="37" spans="5:10" x14ac:dyDescent="0.25">
      <c r="E37" s="46"/>
      <c r="F37" s="49"/>
      <c r="G37" s="9" t="s">
        <v>40</v>
      </c>
      <c r="H37" s="9" t="s">
        <v>68</v>
      </c>
      <c r="I37" s="9"/>
    </row>
    <row r="39" spans="5:10" x14ac:dyDescent="0.25">
      <c r="F39" t="s">
        <v>75</v>
      </c>
    </row>
    <row r="40" spans="5:10" ht="27.6" x14ac:dyDescent="0.25">
      <c r="E40" s="20" t="s">
        <v>73</v>
      </c>
      <c r="F40" t="s">
        <v>74</v>
      </c>
      <c r="G40" t="s">
        <v>76</v>
      </c>
      <c r="H40" t="s">
        <v>83</v>
      </c>
    </row>
    <row r="41" spans="5:10" ht="69" x14ac:dyDescent="0.25">
      <c r="E41" t="s">
        <v>77</v>
      </c>
      <c r="F41" s="20" t="s">
        <v>78</v>
      </c>
      <c r="G41" s="20" t="s">
        <v>79</v>
      </c>
    </row>
    <row r="45" spans="5:10" x14ac:dyDescent="0.25">
      <c r="E45" s="1"/>
    </row>
    <row r="46" spans="5:10" x14ac:dyDescent="0.25">
      <c r="E46" s="1"/>
    </row>
    <row r="47" spans="5:10" x14ac:dyDescent="0.25">
      <c r="E47" s="50"/>
      <c r="I47" s="32"/>
      <c r="J47" s="31"/>
    </row>
    <row r="48" spans="5:10" x14ac:dyDescent="0.25">
      <c r="E48" s="50"/>
      <c r="F48" s="50"/>
    </row>
    <row r="49" spans="5:6" x14ac:dyDescent="0.25">
      <c r="E49" s="50"/>
      <c r="F49" s="50"/>
    </row>
    <row r="50" spans="5:6" x14ac:dyDescent="0.25">
      <c r="E50" s="50"/>
      <c r="F50" s="50"/>
    </row>
    <row r="51" spans="5:6" x14ac:dyDescent="0.25">
      <c r="E51" s="50"/>
      <c r="F51" s="50"/>
    </row>
  </sheetData>
  <mergeCells count="12">
    <mergeCell ref="E47:E51"/>
    <mergeCell ref="F48:F49"/>
    <mergeCell ref="F50:F51"/>
    <mergeCell ref="E32:E37"/>
    <mergeCell ref="F32:F34"/>
    <mergeCell ref="F35:F37"/>
    <mergeCell ref="F2:G2"/>
    <mergeCell ref="H2:I2"/>
    <mergeCell ref="C3:C8"/>
    <mergeCell ref="D3:D4"/>
    <mergeCell ref="D5:D6"/>
    <mergeCell ref="D7:D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1:T47"/>
  <sheetViews>
    <sheetView topLeftCell="G28" zoomScaleNormal="100" workbookViewId="0">
      <selection activeCell="H31" sqref="H31:I31"/>
    </sheetView>
  </sheetViews>
  <sheetFormatPr defaultRowHeight="13.8" x14ac:dyDescent="0.25"/>
  <cols>
    <col min="3" max="3" width="19" bestFit="1" customWidth="1"/>
    <col min="4" max="4" width="4.19921875" bestFit="1" customWidth="1"/>
    <col min="5" max="5" width="19.5" bestFit="1" customWidth="1"/>
    <col min="6" max="6" width="17.8984375" bestFit="1" customWidth="1"/>
    <col min="10" max="10" width="18.69921875" bestFit="1" customWidth="1"/>
    <col min="12" max="12" width="19.69921875" bestFit="1" customWidth="1"/>
    <col min="13" max="13" width="10.19921875" bestFit="1" customWidth="1"/>
    <col min="20" max="20" width="97.796875" bestFit="1" customWidth="1"/>
  </cols>
  <sheetData>
    <row r="1" spans="3:20" x14ac:dyDescent="0.25">
      <c r="F1" s="20" t="s">
        <v>41</v>
      </c>
      <c r="G1" t="s">
        <v>5</v>
      </c>
      <c r="H1" t="s">
        <v>42</v>
      </c>
      <c r="I1" t="s">
        <v>5</v>
      </c>
    </row>
    <row r="2" spans="3:20" x14ac:dyDescent="0.25">
      <c r="F2" s="40" t="s">
        <v>12</v>
      </c>
      <c r="G2" s="40"/>
      <c r="H2" s="40" t="s">
        <v>11</v>
      </c>
      <c r="I2" s="40"/>
    </row>
    <row r="3" spans="3:20" ht="13.8" customHeight="1" x14ac:dyDescent="0.25">
      <c r="C3" s="43" t="s">
        <v>2</v>
      </c>
      <c r="D3" s="40" t="s">
        <v>38</v>
      </c>
      <c r="E3">
        <v>0.97</v>
      </c>
      <c r="F3">
        <v>1.5829333333333333</v>
      </c>
      <c r="G3">
        <v>3.8007219099846064E-2</v>
      </c>
      <c r="H3">
        <v>13.356731457314448</v>
      </c>
      <c r="I3">
        <v>1.0290025442942372</v>
      </c>
    </row>
    <row r="4" spans="3:20" ht="13.8" customHeight="1" x14ac:dyDescent="0.25">
      <c r="C4" s="43"/>
      <c r="D4" s="40"/>
      <c r="E4">
        <v>0.99</v>
      </c>
      <c r="F4">
        <v>2.5223666666666666</v>
      </c>
      <c r="G4">
        <v>1.7281568001561439E-2</v>
      </c>
      <c r="H4">
        <v>6.2421781733761117</v>
      </c>
      <c r="I4">
        <v>0.18107302452384369</v>
      </c>
    </row>
    <row r="5" spans="3:20" ht="13.8" customHeight="1" x14ac:dyDescent="0.25">
      <c r="C5" s="43"/>
      <c r="D5" s="40" t="s">
        <v>39</v>
      </c>
      <c r="E5">
        <v>0.97</v>
      </c>
      <c r="F5">
        <v>2.9161666666666668</v>
      </c>
      <c r="G5">
        <v>6.2099640662167832E-2</v>
      </c>
      <c r="H5">
        <v>4.5076135384325529</v>
      </c>
      <c r="I5">
        <v>0.76146141518253796</v>
      </c>
    </row>
    <row r="6" spans="3:20" ht="13.8" customHeight="1" x14ac:dyDescent="0.25">
      <c r="C6" s="43"/>
      <c r="D6" s="40"/>
      <c r="E6">
        <v>0.99</v>
      </c>
      <c r="F6">
        <v>4.84985</v>
      </c>
      <c r="G6">
        <v>3.9341303924049713E-2</v>
      </c>
      <c r="H6">
        <v>3.5501994137387363</v>
      </c>
      <c r="I6">
        <v>9.9961103573396326E-2</v>
      </c>
    </row>
    <row r="7" spans="3:20" ht="13.8" customHeight="1" x14ac:dyDescent="0.25">
      <c r="C7" s="43"/>
      <c r="D7" s="40" t="s">
        <v>40</v>
      </c>
      <c r="E7">
        <v>0.97</v>
      </c>
      <c r="F7">
        <v>4.5671333333333335</v>
      </c>
      <c r="G7">
        <v>0.17995484413020379</v>
      </c>
      <c r="H7">
        <v>2.3313110143146352</v>
      </c>
      <c r="I7">
        <v>7.0005657842057048E-2</v>
      </c>
    </row>
    <row r="8" spans="3:20" ht="13.8" customHeight="1" x14ac:dyDescent="0.25">
      <c r="C8" s="43"/>
      <c r="D8" s="40"/>
      <c r="E8">
        <v>0.99</v>
      </c>
      <c r="F8">
        <v>7.0717666666666661</v>
      </c>
      <c r="G8">
        <v>2.7184816704536693E-2</v>
      </c>
      <c r="H8">
        <v>1.065029676379017</v>
      </c>
      <c r="I8">
        <v>7.2406839563488146E-2</v>
      </c>
    </row>
    <row r="9" spans="3:20" ht="13.8" customHeight="1" x14ac:dyDescent="0.25">
      <c r="C9" s="24"/>
    </row>
    <row r="10" spans="3:20" ht="13.8" customHeight="1" x14ac:dyDescent="0.25">
      <c r="C10" s="24"/>
      <c r="E10" s="1" t="s">
        <v>59</v>
      </c>
    </row>
    <row r="11" spans="3:20" ht="13.8" customHeight="1" x14ac:dyDescent="0.25">
      <c r="C11" s="24"/>
      <c r="E11">
        <v>0.97</v>
      </c>
      <c r="G11">
        <v>0.99</v>
      </c>
      <c r="S11" s="1">
        <v>0.97</v>
      </c>
      <c r="T11" t="s">
        <v>80</v>
      </c>
    </row>
    <row r="12" spans="3:20" ht="13.8" customHeight="1" x14ac:dyDescent="0.25">
      <c r="D12" s="25" t="s">
        <v>57</v>
      </c>
      <c r="E12">
        <v>1.5829333333333333</v>
      </c>
      <c r="F12">
        <v>3.8007219099846064E-2</v>
      </c>
      <c r="G12">
        <v>2.5223666666666666</v>
      </c>
      <c r="H12">
        <v>1.7281568001561439E-2</v>
      </c>
      <c r="S12" s="1">
        <v>0.99</v>
      </c>
      <c r="T12" t="s">
        <v>80</v>
      </c>
    </row>
    <row r="13" spans="3:20" ht="13.8" customHeight="1" x14ac:dyDescent="0.25">
      <c r="D13" t="s">
        <v>58</v>
      </c>
      <c r="E13">
        <v>2.9161666666666668</v>
      </c>
      <c r="F13">
        <v>6.2099640662167832E-2</v>
      </c>
      <c r="G13">
        <v>4.84985</v>
      </c>
      <c r="H13">
        <v>3.9341303924049713E-2</v>
      </c>
    </row>
    <row r="14" spans="3:20" ht="13.8" customHeight="1" x14ac:dyDescent="0.25">
      <c r="D14" t="s">
        <v>40</v>
      </c>
      <c r="E14">
        <v>4.5671333333333335</v>
      </c>
      <c r="F14">
        <v>0.17995484413020379</v>
      </c>
      <c r="G14">
        <v>7.0717666666666661</v>
      </c>
      <c r="H14">
        <v>2.7184816704536693E-2</v>
      </c>
    </row>
    <row r="17" spans="4:20" x14ac:dyDescent="0.25">
      <c r="E17" s="1" t="s">
        <v>60</v>
      </c>
    </row>
    <row r="18" spans="4:20" x14ac:dyDescent="0.25">
      <c r="E18">
        <v>0.97</v>
      </c>
      <c r="G18">
        <v>0.99</v>
      </c>
    </row>
    <row r="19" spans="4:20" x14ac:dyDescent="0.25">
      <c r="D19" s="25" t="s">
        <v>57</v>
      </c>
      <c r="E19">
        <v>13.356731457314448</v>
      </c>
      <c r="F19">
        <v>1.0290025442942372</v>
      </c>
      <c r="G19">
        <v>6.2421781733761117</v>
      </c>
      <c r="H19">
        <v>0.18107302452384369</v>
      </c>
    </row>
    <row r="20" spans="4:20" x14ac:dyDescent="0.25">
      <c r="D20" t="s">
        <v>58</v>
      </c>
      <c r="E20">
        <v>4.5076135384325529</v>
      </c>
      <c r="F20">
        <v>0.76146141518253796</v>
      </c>
      <c r="G20">
        <v>3.5501994137387363</v>
      </c>
      <c r="H20">
        <v>9.9961103573396326E-2</v>
      </c>
    </row>
    <row r="21" spans="4:20" x14ac:dyDescent="0.25">
      <c r="D21" t="s">
        <v>40</v>
      </c>
      <c r="E21">
        <v>2.3313110143146352</v>
      </c>
      <c r="F21">
        <v>7.0005657842057048E-2</v>
      </c>
      <c r="G21">
        <v>1.065029676379017</v>
      </c>
      <c r="H21">
        <v>7.2406839563488146E-2</v>
      </c>
    </row>
    <row r="28" spans="4:20" x14ac:dyDescent="0.25">
      <c r="S28" s="1">
        <v>0.97</v>
      </c>
      <c r="T28" t="s">
        <v>81</v>
      </c>
    </row>
    <row r="29" spans="4:20" x14ac:dyDescent="0.25">
      <c r="E29" s="1" t="s">
        <v>61</v>
      </c>
      <c r="F29" s="26" t="s">
        <v>62</v>
      </c>
      <c r="S29">
        <v>0.99</v>
      </c>
      <c r="T29" t="s">
        <v>82</v>
      </c>
    </row>
    <row r="30" spans="4:20" x14ac:dyDescent="0.25">
      <c r="E30" s="28" t="s">
        <v>63</v>
      </c>
      <c r="F30" s="29" t="s">
        <v>69</v>
      </c>
      <c r="G30" s="29"/>
      <c r="H30" s="29"/>
      <c r="I30" s="29"/>
    </row>
    <row r="31" spans="4:20" ht="14.4" customHeight="1" x14ac:dyDescent="0.25">
      <c r="E31" s="44" t="s">
        <v>71</v>
      </c>
      <c r="F31" s="9"/>
      <c r="G31" s="9"/>
      <c r="H31" s="9" t="s">
        <v>67</v>
      </c>
      <c r="I31" s="27" t="s">
        <v>66</v>
      </c>
      <c r="J31" s="30" t="s">
        <v>72</v>
      </c>
    </row>
    <row r="32" spans="4:20" ht="14.4" customHeight="1" x14ac:dyDescent="0.25">
      <c r="E32" s="45"/>
      <c r="F32" s="47" t="s">
        <v>64</v>
      </c>
      <c r="G32" s="9">
        <v>0.97</v>
      </c>
      <c r="H32" s="9"/>
      <c r="I32" s="9" t="s">
        <v>68</v>
      </c>
    </row>
    <row r="33" spans="5:9" ht="14.4" customHeight="1" x14ac:dyDescent="0.25">
      <c r="E33" s="45"/>
      <c r="F33" s="48"/>
      <c r="G33" s="9">
        <v>0.99</v>
      </c>
      <c r="H33" s="9"/>
      <c r="I33" s="9" t="s">
        <v>68</v>
      </c>
    </row>
    <row r="34" spans="5:9" ht="14.4" customHeight="1" x14ac:dyDescent="0.25">
      <c r="E34" s="45"/>
      <c r="F34" s="47" t="s">
        <v>65</v>
      </c>
      <c r="G34" s="9">
        <v>0.97</v>
      </c>
      <c r="H34" s="9" t="s">
        <v>68</v>
      </c>
      <c r="I34" s="9" t="s">
        <v>68</v>
      </c>
    </row>
    <row r="35" spans="5:9" x14ac:dyDescent="0.25">
      <c r="E35" s="46"/>
      <c r="F35" s="48"/>
      <c r="G35" s="9">
        <v>0.99</v>
      </c>
      <c r="H35" s="9"/>
      <c r="I35" s="9" t="s">
        <v>68</v>
      </c>
    </row>
    <row r="37" spans="5:9" ht="14.4" customHeight="1" x14ac:dyDescent="0.25"/>
    <row r="38" spans="5:9" ht="14.4" customHeight="1" x14ac:dyDescent="0.25">
      <c r="E38" s="44" t="s">
        <v>70</v>
      </c>
      <c r="F38" s="49" t="s">
        <v>64</v>
      </c>
      <c r="G38" s="9" t="s">
        <v>38</v>
      </c>
      <c r="H38" s="9"/>
      <c r="I38" s="9" t="s">
        <v>68</v>
      </c>
    </row>
    <row r="39" spans="5:9" ht="14.4" customHeight="1" x14ac:dyDescent="0.25">
      <c r="E39" s="45"/>
      <c r="F39" s="49"/>
      <c r="G39" s="9" t="s">
        <v>39</v>
      </c>
      <c r="H39" s="9"/>
      <c r="I39" s="9" t="s">
        <v>68</v>
      </c>
    </row>
    <row r="40" spans="5:9" ht="14.4" customHeight="1" x14ac:dyDescent="0.25">
      <c r="E40" s="45"/>
      <c r="F40" s="49"/>
      <c r="G40" s="9" t="s">
        <v>40</v>
      </c>
      <c r="H40" s="9"/>
      <c r="I40" s="9" t="s">
        <v>68</v>
      </c>
    </row>
    <row r="41" spans="5:9" ht="14.4" customHeight="1" x14ac:dyDescent="0.25">
      <c r="E41" s="45"/>
      <c r="F41" s="49" t="s">
        <v>65</v>
      </c>
      <c r="G41" s="9" t="s">
        <v>38</v>
      </c>
      <c r="H41" s="9" t="s">
        <v>68</v>
      </c>
      <c r="I41" s="9" t="s">
        <v>68</v>
      </c>
    </row>
    <row r="42" spans="5:9" ht="14.4" customHeight="1" x14ac:dyDescent="0.25">
      <c r="E42" s="45"/>
      <c r="F42" s="49"/>
      <c r="G42" s="9" t="s">
        <v>39</v>
      </c>
      <c r="H42" s="9"/>
      <c r="I42" s="9" t="s">
        <v>68</v>
      </c>
    </row>
    <row r="43" spans="5:9" ht="13.8" customHeight="1" x14ac:dyDescent="0.25">
      <c r="E43" s="46"/>
      <c r="F43" s="49"/>
      <c r="G43" s="9" t="s">
        <v>40</v>
      </c>
      <c r="H43" s="9" t="s">
        <v>68</v>
      </c>
      <c r="I43" s="9"/>
    </row>
    <row r="44" spans="5:9" ht="13.8" customHeight="1" x14ac:dyDescent="0.25"/>
    <row r="45" spans="5:9" ht="13.8" customHeight="1" x14ac:dyDescent="0.25"/>
    <row r="46" spans="5:9" ht="13.8" customHeight="1" x14ac:dyDescent="0.25"/>
    <row r="47" spans="5:9" ht="13.8" customHeight="1" x14ac:dyDescent="0.25"/>
  </sheetData>
  <mergeCells count="12">
    <mergeCell ref="E31:E35"/>
    <mergeCell ref="E38:E43"/>
    <mergeCell ref="F32:F33"/>
    <mergeCell ref="F34:F35"/>
    <mergeCell ref="F41:F43"/>
    <mergeCell ref="F38:F40"/>
    <mergeCell ref="F2:G2"/>
    <mergeCell ref="H2:I2"/>
    <mergeCell ref="C3:C8"/>
    <mergeCell ref="D3:D4"/>
    <mergeCell ref="D5:D6"/>
    <mergeCell ref="D7:D8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1:T47"/>
  <sheetViews>
    <sheetView topLeftCell="L1" zoomScale="90" zoomScaleNormal="90" workbookViewId="0">
      <selection activeCell="T23" sqref="T23"/>
    </sheetView>
  </sheetViews>
  <sheetFormatPr defaultRowHeight="13.8" x14ac:dyDescent="0.25"/>
  <cols>
    <col min="3" max="3" width="19" bestFit="1" customWidth="1"/>
    <col min="4" max="4" width="4.19921875" bestFit="1" customWidth="1"/>
    <col min="5" max="5" width="19.5" bestFit="1" customWidth="1"/>
    <col min="6" max="6" width="17.8984375" bestFit="1" customWidth="1"/>
    <col min="10" max="10" width="18.69921875" bestFit="1" customWidth="1"/>
    <col min="12" max="12" width="19.69921875" bestFit="1" customWidth="1"/>
    <col min="13" max="13" width="10.19921875" bestFit="1" customWidth="1"/>
    <col min="20" max="20" width="97.796875" bestFit="1" customWidth="1"/>
  </cols>
  <sheetData>
    <row r="1" spans="3:20" x14ac:dyDescent="0.25">
      <c r="F1" s="20" t="s">
        <v>41</v>
      </c>
      <c r="G1" t="s">
        <v>5</v>
      </c>
      <c r="H1" t="s">
        <v>42</v>
      </c>
      <c r="I1" t="s">
        <v>5</v>
      </c>
    </row>
    <row r="2" spans="3:20" x14ac:dyDescent="0.25">
      <c r="F2" s="40" t="s">
        <v>12</v>
      </c>
      <c r="G2" s="40"/>
      <c r="H2" s="40" t="s">
        <v>11</v>
      </c>
      <c r="I2" s="40"/>
    </row>
    <row r="3" spans="3:20" ht="13.8" customHeight="1" x14ac:dyDescent="0.25">
      <c r="C3" s="43" t="s">
        <v>2</v>
      </c>
      <c r="D3" s="40" t="s">
        <v>38</v>
      </c>
      <c r="E3">
        <v>0.97</v>
      </c>
      <c r="F3">
        <v>1.5829333333333333</v>
      </c>
      <c r="G3">
        <v>3.8007219099846064E-2</v>
      </c>
      <c r="H3">
        <v>13.356731457314448</v>
      </c>
      <c r="I3">
        <v>1.0290025442942372</v>
      </c>
    </row>
    <row r="4" spans="3:20" ht="13.8" customHeight="1" x14ac:dyDescent="0.25">
      <c r="C4" s="43"/>
      <c r="D4" s="40"/>
      <c r="E4">
        <v>0.99</v>
      </c>
      <c r="F4">
        <v>2.5223666666666666</v>
      </c>
      <c r="G4">
        <v>1.7281568001561439E-2</v>
      </c>
      <c r="H4">
        <v>6.2421781733761117</v>
      </c>
      <c r="I4">
        <v>0.18107302452384369</v>
      </c>
    </row>
    <row r="5" spans="3:20" ht="13.8" customHeight="1" x14ac:dyDescent="0.25">
      <c r="C5" s="43"/>
      <c r="D5" s="40" t="s">
        <v>39</v>
      </c>
      <c r="E5">
        <v>0.97</v>
      </c>
      <c r="F5">
        <v>2.9161666666666668</v>
      </c>
      <c r="G5">
        <v>6.2099640662167832E-2</v>
      </c>
      <c r="H5">
        <v>4.5076135384325529</v>
      </c>
      <c r="I5">
        <v>0.76146141518253796</v>
      </c>
    </row>
    <row r="6" spans="3:20" ht="13.8" customHeight="1" x14ac:dyDescent="0.25">
      <c r="C6" s="43"/>
      <c r="D6" s="40"/>
      <c r="E6">
        <v>0.99</v>
      </c>
      <c r="F6">
        <v>4.84985</v>
      </c>
      <c r="G6">
        <v>3.9341303924049713E-2</v>
      </c>
      <c r="H6">
        <v>3.5501994137387363</v>
      </c>
      <c r="I6">
        <v>9.9961103573396326E-2</v>
      </c>
    </row>
    <row r="7" spans="3:20" ht="13.8" customHeight="1" x14ac:dyDescent="0.25">
      <c r="C7" s="43"/>
      <c r="D7" s="40" t="s">
        <v>40</v>
      </c>
      <c r="E7">
        <v>0.97</v>
      </c>
      <c r="F7">
        <v>4.5671333333333335</v>
      </c>
      <c r="G7">
        <v>0.17995484413020379</v>
      </c>
      <c r="H7">
        <v>2.3313110143146352</v>
      </c>
      <c r="I7">
        <v>7.0005657842057048E-2</v>
      </c>
      <c r="S7" s="1" t="s">
        <v>57</v>
      </c>
      <c r="T7" t="s">
        <v>84</v>
      </c>
    </row>
    <row r="8" spans="3:20" ht="13.8" customHeight="1" x14ac:dyDescent="0.25">
      <c r="C8" s="43"/>
      <c r="D8" s="40"/>
      <c r="E8">
        <v>0.99</v>
      </c>
      <c r="F8">
        <v>7.0717666666666661</v>
      </c>
      <c r="G8">
        <v>2.7184816704536693E-2</v>
      </c>
      <c r="H8">
        <v>1.065029676379017</v>
      </c>
      <c r="I8">
        <v>7.2406839563488146E-2</v>
      </c>
      <c r="S8" s="1" t="s">
        <v>39</v>
      </c>
      <c r="T8" t="s">
        <v>84</v>
      </c>
    </row>
    <row r="9" spans="3:20" ht="13.8" customHeight="1" x14ac:dyDescent="0.25">
      <c r="C9" s="24"/>
      <c r="S9" s="1" t="s">
        <v>40</v>
      </c>
      <c r="T9" t="s">
        <v>84</v>
      </c>
    </row>
    <row r="10" spans="3:20" ht="13.8" customHeight="1" x14ac:dyDescent="0.25">
      <c r="C10" s="24"/>
      <c r="E10" s="1" t="s">
        <v>59</v>
      </c>
    </row>
    <row r="11" spans="3:20" ht="13.8" customHeight="1" x14ac:dyDescent="0.25">
      <c r="C11" s="24"/>
      <c r="E11">
        <v>0.97</v>
      </c>
      <c r="G11">
        <v>0.99</v>
      </c>
      <c r="S11" s="1"/>
    </row>
    <row r="12" spans="3:20" ht="13.8" customHeight="1" x14ac:dyDescent="0.25">
      <c r="D12" s="25" t="s">
        <v>57</v>
      </c>
      <c r="E12">
        <v>1.5829333333333333</v>
      </c>
      <c r="F12">
        <v>3.8007219099846064E-2</v>
      </c>
      <c r="G12">
        <v>2.5223666666666666</v>
      </c>
      <c r="H12">
        <v>1.7281568001561439E-2</v>
      </c>
      <c r="S12" s="1"/>
    </row>
    <row r="13" spans="3:20" ht="13.8" customHeight="1" x14ac:dyDescent="0.25">
      <c r="D13" t="s">
        <v>58</v>
      </c>
      <c r="E13">
        <v>2.9161666666666668</v>
      </c>
      <c r="F13">
        <v>6.2099640662167832E-2</v>
      </c>
      <c r="G13">
        <v>4.84985</v>
      </c>
      <c r="H13">
        <v>3.9341303924049713E-2</v>
      </c>
    </row>
    <row r="14" spans="3:20" ht="13.8" customHeight="1" x14ac:dyDescent="0.25">
      <c r="D14" t="s">
        <v>40</v>
      </c>
      <c r="E14">
        <v>4.5671333333333335</v>
      </c>
      <c r="F14">
        <v>0.17995484413020379</v>
      </c>
      <c r="G14">
        <v>7.0717666666666661</v>
      </c>
      <c r="H14">
        <v>2.7184816704536693E-2</v>
      </c>
    </row>
    <row r="17" spans="4:20" x14ac:dyDescent="0.25">
      <c r="E17" s="1" t="s">
        <v>60</v>
      </c>
    </row>
    <row r="18" spans="4:20" x14ac:dyDescent="0.25">
      <c r="E18">
        <v>0.97</v>
      </c>
      <c r="G18">
        <v>0.99</v>
      </c>
    </row>
    <row r="19" spans="4:20" x14ac:dyDescent="0.25">
      <c r="D19" s="25" t="s">
        <v>57</v>
      </c>
      <c r="E19">
        <v>13.356731457314448</v>
      </c>
      <c r="F19">
        <v>1.0290025442942372</v>
      </c>
      <c r="G19">
        <v>6.2421781733761117</v>
      </c>
      <c r="H19">
        <v>0.18107302452384369</v>
      </c>
    </row>
    <row r="20" spans="4:20" x14ac:dyDescent="0.25">
      <c r="D20" t="s">
        <v>58</v>
      </c>
      <c r="E20">
        <v>4.5076135384325529</v>
      </c>
      <c r="F20">
        <v>0.76146141518253796</v>
      </c>
      <c r="G20">
        <v>3.5501994137387363</v>
      </c>
      <c r="H20">
        <v>9.9961103573396326E-2</v>
      </c>
    </row>
    <row r="21" spans="4:20" x14ac:dyDescent="0.25">
      <c r="D21" t="s">
        <v>40</v>
      </c>
      <c r="E21">
        <v>2.3313110143146352</v>
      </c>
      <c r="F21">
        <v>7.0005657842057048E-2</v>
      </c>
      <c r="G21">
        <v>1.065029676379017</v>
      </c>
      <c r="H21">
        <v>7.2406839563488146E-2</v>
      </c>
    </row>
    <row r="24" spans="4:20" x14ac:dyDescent="0.25">
      <c r="E24" s="51" t="s">
        <v>70</v>
      </c>
      <c r="F24" s="49" t="s">
        <v>64</v>
      </c>
      <c r="G24" s="9" t="s">
        <v>38</v>
      </c>
      <c r="H24" s="9"/>
      <c r="I24" s="9" t="s">
        <v>68</v>
      </c>
    </row>
    <row r="25" spans="4:20" x14ac:dyDescent="0.25">
      <c r="E25" s="51"/>
      <c r="F25" s="49"/>
      <c r="G25" s="9" t="s">
        <v>39</v>
      </c>
      <c r="H25" s="9"/>
      <c r="I25" s="9" t="s">
        <v>68</v>
      </c>
    </row>
    <row r="26" spans="4:20" x14ac:dyDescent="0.25">
      <c r="E26" s="51"/>
      <c r="F26" s="49"/>
      <c r="G26" s="9" t="s">
        <v>40</v>
      </c>
      <c r="H26" s="9"/>
      <c r="I26" s="9" t="s">
        <v>68</v>
      </c>
    </row>
    <row r="27" spans="4:20" x14ac:dyDescent="0.25">
      <c r="E27" s="51"/>
      <c r="F27" s="49" t="s">
        <v>65</v>
      </c>
      <c r="G27" s="9" t="s">
        <v>38</v>
      </c>
      <c r="H27" s="9" t="s">
        <v>68</v>
      </c>
      <c r="I27" s="9" t="s">
        <v>68</v>
      </c>
    </row>
    <row r="28" spans="4:20" x14ac:dyDescent="0.25">
      <c r="E28" s="51"/>
      <c r="F28" s="49"/>
      <c r="G28" s="9" t="s">
        <v>39</v>
      </c>
      <c r="H28" s="9"/>
      <c r="I28" s="9" t="s">
        <v>68</v>
      </c>
      <c r="S28" s="1" t="s">
        <v>57</v>
      </c>
      <c r="T28" t="s">
        <v>88</v>
      </c>
    </row>
    <row r="29" spans="4:20" x14ac:dyDescent="0.25">
      <c r="E29" s="51"/>
      <c r="F29" s="49"/>
      <c r="G29" s="9" t="s">
        <v>40</v>
      </c>
      <c r="H29" s="9" t="s">
        <v>68</v>
      </c>
      <c r="I29" s="9"/>
      <c r="S29" s="1" t="s">
        <v>39</v>
      </c>
      <c r="T29" t="s">
        <v>89</v>
      </c>
    </row>
    <row r="30" spans="4:20" x14ac:dyDescent="0.25">
      <c r="E30" s="1"/>
      <c r="S30" s="1" t="s">
        <v>40</v>
      </c>
      <c r="T30" t="s">
        <v>88</v>
      </c>
    </row>
    <row r="31" spans="4:20" ht="14.4" customHeight="1" x14ac:dyDescent="0.25">
      <c r="E31" s="50"/>
      <c r="I31" s="32"/>
    </row>
    <row r="32" spans="4:20" ht="14.4" customHeight="1" x14ac:dyDescent="0.25">
      <c r="E32" s="50"/>
      <c r="F32" s="50"/>
    </row>
    <row r="33" spans="5:6" ht="14.4" customHeight="1" x14ac:dyDescent="0.25">
      <c r="E33" s="50"/>
      <c r="F33" s="50"/>
    </row>
    <row r="34" spans="5:6" ht="14.4" customHeight="1" x14ac:dyDescent="0.25">
      <c r="E34" s="50"/>
      <c r="F34" s="50"/>
    </row>
    <row r="35" spans="5:6" x14ac:dyDescent="0.25">
      <c r="E35" s="50"/>
      <c r="F35" s="50"/>
    </row>
    <row r="37" spans="5:6" ht="14.4" customHeight="1" x14ac:dyDescent="0.25"/>
    <row r="38" spans="5:6" ht="14.4" customHeight="1" x14ac:dyDescent="0.25"/>
    <row r="39" spans="5:6" ht="14.4" customHeight="1" x14ac:dyDescent="0.25"/>
    <row r="40" spans="5:6" ht="14.4" customHeight="1" x14ac:dyDescent="0.25"/>
    <row r="41" spans="5:6" ht="14.4" customHeight="1" x14ac:dyDescent="0.25"/>
    <row r="42" spans="5:6" ht="14.4" customHeight="1" x14ac:dyDescent="0.25"/>
    <row r="43" spans="5:6" ht="13.8" customHeight="1" x14ac:dyDescent="0.25"/>
    <row r="44" spans="5:6" ht="13.8" customHeight="1" x14ac:dyDescent="0.25"/>
    <row r="45" spans="5:6" ht="13.8" customHeight="1" x14ac:dyDescent="0.25"/>
    <row r="46" spans="5:6" ht="13.8" customHeight="1" x14ac:dyDescent="0.25"/>
    <row r="47" spans="5:6" ht="13.8" customHeight="1" x14ac:dyDescent="0.25"/>
  </sheetData>
  <mergeCells count="12">
    <mergeCell ref="E31:E35"/>
    <mergeCell ref="F32:F33"/>
    <mergeCell ref="F34:F35"/>
    <mergeCell ref="E24:E29"/>
    <mergeCell ref="F24:F26"/>
    <mergeCell ref="F27:F29"/>
    <mergeCell ref="F2:G2"/>
    <mergeCell ref="H2:I2"/>
    <mergeCell ref="C3:C8"/>
    <mergeCell ref="D3:D4"/>
    <mergeCell ref="D5:D6"/>
    <mergeCell ref="D7:D8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1:R27"/>
  <sheetViews>
    <sheetView topLeftCell="A19" zoomScale="110" zoomScaleNormal="110" workbookViewId="0">
      <selection activeCell="R11" sqref="R11"/>
    </sheetView>
  </sheetViews>
  <sheetFormatPr defaultRowHeight="13.8" x14ac:dyDescent="0.25"/>
  <cols>
    <col min="3" max="3" width="19" bestFit="1" customWidth="1"/>
    <col min="4" max="4" width="4.19921875" bestFit="1" customWidth="1"/>
    <col min="5" max="5" width="11.8984375" bestFit="1" customWidth="1"/>
    <col min="6" max="6" width="20.3984375" bestFit="1" customWidth="1"/>
    <col min="12" max="12" width="19.69921875" bestFit="1" customWidth="1"/>
    <col min="13" max="13" width="10.19921875" bestFit="1" customWidth="1"/>
  </cols>
  <sheetData>
    <row r="1" spans="3:18" x14ac:dyDescent="0.25">
      <c r="F1" s="20" t="s">
        <v>41</v>
      </c>
      <c r="G1" t="s">
        <v>5</v>
      </c>
      <c r="H1" t="s">
        <v>42</v>
      </c>
      <c r="I1" t="s">
        <v>5</v>
      </c>
    </row>
    <row r="2" spans="3:18" x14ac:dyDescent="0.25">
      <c r="F2" s="40" t="s">
        <v>12</v>
      </c>
      <c r="G2" s="40"/>
      <c r="H2" s="40" t="s">
        <v>11</v>
      </c>
      <c r="I2" s="40"/>
    </row>
    <row r="3" spans="3:18" x14ac:dyDescent="0.25">
      <c r="C3" s="43" t="s">
        <v>1</v>
      </c>
      <c r="D3" s="40" t="s">
        <v>38</v>
      </c>
      <c r="E3">
        <v>0.97</v>
      </c>
      <c r="F3">
        <v>1.57952</v>
      </c>
      <c r="G3">
        <v>3.3763322111427387E-2</v>
      </c>
      <c r="H3">
        <v>13.14549112735801</v>
      </c>
      <c r="I3">
        <v>1.9161028247141676</v>
      </c>
    </row>
    <row r="4" spans="3:18" x14ac:dyDescent="0.25">
      <c r="C4" s="43"/>
      <c r="D4" s="40"/>
      <c r="E4">
        <v>0.99</v>
      </c>
      <c r="F4">
        <v>2.3852000000000002</v>
      </c>
      <c r="G4">
        <v>2.0881916685123625E-2</v>
      </c>
      <c r="H4">
        <v>10.636656226731676</v>
      </c>
      <c r="I4">
        <v>0.297647832523107</v>
      </c>
    </row>
    <row r="5" spans="3:18" x14ac:dyDescent="0.25">
      <c r="C5" s="43"/>
      <c r="D5" s="40" t="s">
        <v>39</v>
      </c>
      <c r="E5">
        <v>0.97</v>
      </c>
      <c r="F5">
        <v>3.02332</v>
      </c>
      <c r="G5">
        <v>3.5475753973664891E-2</v>
      </c>
      <c r="H5">
        <v>7.5273728566541038</v>
      </c>
      <c r="I5">
        <v>0.34357587230220227</v>
      </c>
    </row>
    <row r="6" spans="3:18" x14ac:dyDescent="0.25">
      <c r="C6" s="43"/>
      <c r="D6" s="40"/>
      <c r="E6">
        <v>0.99</v>
      </c>
      <c r="F6">
        <v>5.0796999999999999</v>
      </c>
      <c r="G6">
        <v>3.9172935668505784E-2</v>
      </c>
      <c r="H6">
        <v>4.259213383576899</v>
      </c>
      <c r="I6">
        <v>8.8086030560699649E-2</v>
      </c>
    </row>
    <row r="7" spans="3:18" x14ac:dyDescent="0.25">
      <c r="C7" s="43"/>
      <c r="D7" s="40" t="s">
        <v>40</v>
      </c>
      <c r="E7">
        <v>0.97</v>
      </c>
      <c r="F7">
        <v>5.7279000000000009</v>
      </c>
      <c r="G7">
        <v>4.8113349960737961E-2</v>
      </c>
      <c r="H7">
        <v>3.5840746269165895</v>
      </c>
      <c r="I7">
        <v>0.2513647546548719</v>
      </c>
      <c r="R7" t="s">
        <v>91</v>
      </c>
    </row>
    <row r="8" spans="3:18" x14ac:dyDescent="0.25">
      <c r="C8" s="43"/>
      <c r="D8" s="40"/>
      <c r="E8">
        <v>0.99</v>
      </c>
      <c r="F8">
        <v>9.2111833333333326</v>
      </c>
      <c r="G8">
        <v>4.1040910596532774E-2</v>
      </c>
      <c r="H8">
        <v>1.7564326136194472</v>
      </c>
      <c r="I8">
        <v>3.3886556272669545E-2</v>
      </c>
    </row>
    <row r="9" spans="3:18" x14ac:dyDescent="0.25">
      <c r="C9" s="43" t="s">
        <v>2</v>
      </c>
      <c r="D9" s="40" t="s">
        <v>38</v>
      </c>
      <c r="E9">
        <v>0.97</v>
      </c>
      <c r="F9">
        <v>1.5829333333333333</v>
      </c>
      <c r="G9">
        <v>3.8007219099846064E-2</v>
      </c>
      <c r="H9">
        <v>13.356731457314448</v>
      </c>
      <c r="I9">
        <v>1.0290025442942372</v>
      </c>
    </row>
    <row r="10" spans="3:18" x14ac:dyDescent="0.25">
      <c r="C10" s="43"/>
      <c r="D10" s="40"/>
      <c r="E10">
        <v>0.99</v>
      </c>
      <c r="F10">
        <v>2.5223666666666666</v>
      </c>
      <c r="G10">
        <v>1.7281568001561439E-2</v>
      </c>
      <c r="H10">
        <v>6.2421781733761117</v>
      </c>
      <c r="I10">
        <v>0.18107302452384369</v>
      </c>
    </row>
    <row r="11" spans="3:18" x14ac:dyDescent="0.25">
      <c r="C11" s="43"/>
      <c r="D11" s="40" t="s">
        <v>39</v>
      </c>
      <c r="E11">
        <v>0.97</v>
      </c>
      <c r="F11">
        <v>2.9161666666666668</v>
      </c>
      <c r="G11">
        <v>6.2099640662167832E-2</v>
      </c>
      <c r="H11">
        <v>4.5076135384325529</v>
      </c>
      <c r="I11">
        <v>0.76146141518253796</v>
      </c>
    </row>
    <row r="12" spans="3:18" x14ac:dyDescent="0.25">
      <c r="C12" s="43"/>
      <c r="D12" s="40"/>
      <c r="E12">
        <v>0.99</v>
      </c>
      <c r="F12">
        <v>4.84985</v>
      </c>
      <c r="G12">
        <v>3.9341303924049713E-2</v>
      </c>
      <c r="H12">
        <v>3.5501994137387363</v>
      </c>
      <c r="I12">
        <v>9.9961103573396326E-2</v>
      </c>
    </row>
    <row r="13" spans="3:18" x14ac:dyDescent="0.25">
      <c r="C13" s="43"/>
      <c r="D13" s="40" t="s">
        <v>40</v>
      </c>
      <c r="E13">
        <v>0.97</v>
      </c>
      <c r="F13">
        <v>4.5671333333333335</v>
      </c>
      <c r="G13">
        <v>0.17995484413020379</v>
      </c>
      <c r="H13">
        <v>2.3313110143146352</v>
      </c>
      <c r="I13">
        <v>7.0005657842057048E-2</v>
      </c>
    </row>
    <row r="14" spans="3:18" x14ac:dyDescent="0.25">
      <c r="C14" s="43"/>
      <c r="D14" s="40"/>
      <c r="E14">
        <v>0.99</v>
      </c>
      <c r="F14">
        <v>7.0717666666666661</v>
      </c>
      <c r="G14">
        <v>2.7184816704536693E-2</v>
      </c>
      <c r="H14">
        <v>1.065029676379017</v>
      </c>
      <c r="I14">
        <v>7.2406839563488146E-2</v>
      </c>
    </row>
    <row r="21" spans="6:18" x14ac:dyDescent="0.25">
      <c r="F21" s="9"/>
      <c r="G21" s="9"/>
      <c r="H21" s="9"/>
      <c r="I21" s="9" t="s">
        <v>67</v>
      </c>
      <c r="J21" s="27" t="s">
        <v>66</v>
      </c>
    </row>
    <row r="22" spans="6:18" x14ac:dyDescent="0.25">
      <c r="F22" s="9" t="s">
        <v>63</v>
      </c>
      <c r="G22" s="9" t="s">
        <v>38</v>
      </c>
      <c r="H22" s="9">
        <v>0.97</v>
      </c>
      <c r="I22" s="9"/>
      <c r="J22" s="9" t="s">
        <v>68</v>
      </c>
    </row>
    <row r="23" spans="6:18" x14ac:dyDescent="0.25">
      <c r="F23" s="52" t="s">
        <v>90</v>
      </c>
      <c r="G23" s="9"/>
      <c r="H23" s="9">
        <v>0.99</v>
      </c>
      <c r="I23" s="9"/>
      <c r="J23" s="9"/>
      <c r="R23" t="s">
        <v>92</v>
      </c>
    </row>
    <row r="24" spans="6:18" x14ac:dyDescent="0.25">
      <c r="F24" s="52"/>
      <c r="G24" s="9" t="s">
        <v>39</v>
      </c>
      <c r="H24" s="9">
        <v>0.97</v>
      </c>
      <c r="I24" s="9"/>
      <c r="J24" s="9" t="s">
        <v>68</v>
      </c>
    </row>
    <row r="25" spans="6:18" x14ac:dyDescent="0.25">
      <c r="F25" s="52"/>
      <c r="G25" s="9"/>
      <c r="H25" s="9">
        <v>0.99</v>
      </c>
      <c r="I25" s="9"/>
      <c r="J25" s="9"/>
    </row>
    <row r="26" spans="6:18" x14ac:dyDescent="0.25">
      <c r="F26" s="52"/>
      <c r="G26" s="9" t="s">
        <v>40</v>
      </c>
      <c r="H26" s="9">
        <v>0.97</v>
      </c>
      <c r="I26" s="9" t="s">
        <v>68</v>
      </c>
      <c r="J26" s="9" t="s">
        <v>68</v>
      </c>
    </row>
    <row r="27" spans="6:18" x14ac:dyDescent="0.25">
      <c r="F27" s="52"/>
      <c r="G27" s="9"/>
      <c r="H27" s="9">
        <v>0.99</v>
      </c>
      <c r="I27" s="9"/>
      <c r="J27" s="9" t="s">
        <v>68</v>
      </c>
    </row>
  </sheetData>
  <mergeCells count="11">
    <mergeCell ref="C9:C14"/>
    <mergeCell ref="D9:D10"/>
    <mergeCell ref="D11:D12"/>
    <mergeCell ref="D13:D14"/>
    <mergeCell ref="F23:F27"/>
    <mergeCell ref="F2:G2"/>
    <mergeCell ref="H2:I2"/>
    <mergeCell ref="C3:C8"/>
    <mergeCell ref="D3:D4"/>
    <mergeCell ref="D5:D6"/>
    <mergeCell ref="D7:D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DB1C5-BC80-45CE-8491-1C5632C71044}">
  <dimension ref="A4:S27"/>
  <sheetViews>
    <sheetView tabSelected="1" topLeftCell="A4" workbookViewId="0">
      <selection activeCell="F22" sqref="F22:G27"/>
    </sheetView>
  </sheetViews>
  <sheetFormatPr defaultRowHeight="13.8" x14ac:dyDescent="0.25"/>
  <sheetData>
    <row r="4" spans="1:19" ht="14.4" x14ac:dyDescent="0.3">
      <c r="A4" s="50" t="s">
        <v>93</v>
      </c>
      <c r="B4" s="50"/>
    </row>
    <row r="5" spans="1:19" ht="14.4" x14ac:dyDescent="0.3">
      <c r="A5">
        <v>0.97</v>
      </c>
      <c r="B5" s="3">
        <v>10</v>
      </c>
      <c r="C5" s="3">
        <v>17.5</v>
      </c>
      <c r="D5" s="3">
        <v>10.041666666666666</v>
      </c>
      <c r="E5" s="23">
        <v>18</v>
      </c>
      <c r="F5" s="23">
        <v>19</v>
      </c>
      <c r="G5" s="23">
        <v>23</v>
      </c>
      <c r="H5" s="23">
        <v>17</v>
      </c>
      <c r="I5" s="23">
        <v>20</v>
      </c>
      <c r="J5" s="23">
        <v>24</v>
      </c>
      <c r="K5" s="23">
        <v>19</v>
      </c>
      <c r="L5" s="23">
        <v>22</v>
      </c>
      <c r="M5" s="23">
        <v>17</v>
      </c>
      <c r="N5" s="23">
        <v>19</v>
      </c>
      <c r="O5" s="23">
        <v>22</v>
      </c>
      <c r="P5" s="23">
        <v>18</v>
      </c>
      <c r="R5" s="21">
        <f>AVERAGE(E5:P5)</f>
        <v>19.833333333333332</v>
      </c>
      <c r="S5" s="21">
        <f>_xlfn.STDEV.P(E5:P5)/SQRT(12)</f>
        <v>0.65440105496609702</v>
      </c>
    </row>
    <row r="6" spans="1:19" ht="14.4" x14ac:dyDescent="0.3">
      <c r="A6">
        <v>0.99</v>
      </c>
      <c r="B6" s="3">
        <v>10</v>
      </c>
      <c r="C6" s="3">
        <v>17.5</v>
      </c>
      <c r="D6" s="3">
        <v>10.041666666666666</v>
      </c>
      <c r="E6" s="23">
        <v>40</v>
      </c>
      <c r="F6" s="23">
        <v>41</v>
      </c>
      <c r="G6" s="23">
        <v>37</v>
      </c>
      <c r="H6" s="23">
        <v>38</v>
      </c>
      <c r="I6" s="23">
        <v>41</v>
      </c>
      <c r="J6" s="23">
        <v>40</v>
      </c>
      <c r="K6" s="23">
        <v>45</v>
      </c>
      <c r="L6" s="23">
        <v>39</v>
      </c>
      <c r="M6" s="23">
        <v>41</v>
      </c>
      <c r="N6" s="23">
        <v>41</v>
      </c>
      <c r="O6" s="23">
        <v>35</v>
      </c>
      <c r="P6" s="23">
        <v>36</v>
      </c>
      <c r="R6" s="21">
        <f t="shared" ref="R6:R10" si="0">AVERAGE(E6:P6)</f>
        <v>39.5</v>
      </c>
      <c r="S6" s="21">
        <f t="shared" ref="S6:S10" si="1">_xlfn.STDEV.P(E6:P6)/SQRT(12)</f>
        <v>0.75000000000000011</v>
      </c>
    </row>
    <row r="7" spans="1:19" ht="14.4" x14ac:dyDescent="0.3">
      <c r="A7">
        <v>0.97</v>
      </c>
      <c r="B7" s="3">
        <v>4</v>
      </c>
      <c r="C7" s="3">
        <v>19.829999999999998</v>
      </c>
      <c r="D7" s="3">
        <v>4.1387499999999999</v>
      </c>
      <c r="E7">
        <v>5</v>
      </c>
      <c r="F7" s="2">
        <v>5</v>
      </c>
      <c r="G7" s="2">
        <v>10</v>
      </c>
      <c r="H7" s="2">
        <v>10</v>
      </c>
      <c r="I7" s="2">
        <v>8</v>
      </c>
      <c r="J7" s="2">
        <v>10</v>
      </c>
      <c r="K7" s="2">
        <v>9</v>
      </c>
      <c r="L7" s="2">
        <v>12</v>
      </c>
      <c r="M7" s="2">
        <v>10</v>
      </c>
      <c r="N7" s="2">
        <v>8</v>
      </c>
      <c r="O7" s="2">
        <v>13</v>
      </c>
      <c r="P7" s="2">
        <v>6</v>
      </c>
      <c r="R7" s="21">
        <f t="shared" si="0"/>
        <v>8.8333333333333339</v>
      </c>
      <c r="S7" s="21">
        <f t="shared" si="1"/>
        <v>0.70546806106668303</v>
      </c>
    </row>
    <row r="8" spans="1:19" ht="14.4" x14ac:dyDescent="0.3">
      <c r="A8">
        <v>0.97</v>
      </c>
      <c r="B8" s="3">
        <v>15</v>
      </c>
      <c r="C8" s="3">
        <v>17.329999999999998</v>
      </c>
      <c r="D8" s="3">
        <v>15.034583333333332</v>
      </c>
      <c r="E8" s="23">
        <v>32</v>
      </c>
      <c r="F8" s="23">
        <v>34</v>
      </c>
      <c r="G8" s="23">
        <v>37</v>
      </c>
      <c r="H8" s="23">
        <v>34</v>
      </c>
      <c r="I8" s="23">
        <v>36</v>
      </c>
      <c r="J8" s="23">
        <v>40</v>
      </c>
      <c r="K8" s="23">
        <v>34</v>
      </c>
      <c r="L8" s="23">
        <v>37</v>
      </c>
      <c r="M8" s="23">
        <v>34</v>
      </c>
      <c r="N8" s="23">
        <v>34</v>
      </c>
      <c r="O8" s="23">
        <v>36</v>
      </c>
      <c r="P8" s="23">
        <v>33</v>
      </c>
      <c r="R8" s="21">
        <f t="shared" si="0"/>
        <v>35.083333333333336</v>
      </c>
      <c r="S8" s="21">
        <f t="shared" si="1"/>
        <v>0.60619869007764426</v>
      </c>
    </row>
    <row r="9" spans="1:19" ht="14.4" x14ac:dyDescent="0.3">
      <c r="A9">
        <v>0.99</v>
      </c>
      <c r="B9" s="3">
        <v>4</v>
      </c>
      <c r="C9" s="3">
        <v>19.829999999999998</v>
      </c>
      <c r="D9" s="3">
        <v>4.1387499999999999</v>
      </c>
      <c r="E9" s="2">
        <v>14</v>
      </c>
      <c r="F9" s="2">
        <v>15</v>
      </c>
      <c r="G9" s="2">
        <v>10</v>
      </c>
      <c r="H9" s="2">
        <v>11</v>
      </c>
      <c r="I9" s="2">
        <v>13</v>
      </c>
      <c r="J9" s="2">
        <v>13</v>
      </c>
      <c r="K9" s="2">
        <v>17</v>
      </c>
      <c r="L9" s="2">
        <v>13</v>
      </c>
      <c r="M9" s="2">
        <v>15</v>
      </c>
      <c r="N9" s="2">
        <v>15</v>
      </c>
      <c r="O9" s="2">
        <v>18</v>
      </c>
      <c r="P9" s="2">
        <v>17</v>
      </c>
      <c r="R9" s="21">
        <f t="shared" si="0"/>
        <v>14.25</v>
      </c>
      <c r="S9" s="21">
        <f t="shared" si="1"/>
        <v>0.66796748091172498</v>
      </c>
    </row>
    <row r="10" spans="1:19" ht="14.4" x14ac:dyDescent="0.3">
      <c r="A10">
        <v>0.99</v>
      </c>
      <c r="B10" s="3">
        <v>15</v>
      </c>
      <c r="C10" s="3">
        <v>17.329999999999998</v>
      </c>
      <c r="D10" s="3">
        <v>15.034583333333332</v>
      </c>
      <c r="E10" s="23">
        <v>62</v>
      </c>
      <c r="F10" s="23">
        <v>65</v>
      </c>
      <c r="G10" s="23">
        <v>63</v>
      </c>
      <c r="H10" s="23">
        <v>64</v>
      </c>
      <c r="I10" s="23">
        <v>62</v>
      </c>
      <c r="J10" s="23">
        <v>64</v>
      </c>
      <c r="K10" s="23">
        <v>70</v>
      </c>
      <c r="L10" s="23">
        <v>64</v>
      </c>
      <c r="M10" s="23">
        <v>65</v>
      </c>
      <c r="N10" s="23">
        <v>64</v>
      </c>
      <c r="O10" s="23">
        <v>57</v>
      </c>
      <c r="P10" s="23">
        <v>62</v>
      </c>
      <c r="R10" s="21">
        <f t="shared" si="0"/>
        <v>63.5</v>
      </c>
      <c r="S10" s="21">
        <f t="shared" si="1"/>
        <v>0.82073815014967544</v>
      </c>
    </row>
    <row r="11" spans="1:19" ht="14.4" x14ac:dyDescent="0.3">
      <c r="A11" s="3"/>
      <c r="B11" s="3"/>
      <c r="C11" s="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R11" s="21"/>
      <c r="S11" s="21"/>
    </row>
    <row r="12" spans="1:19" ht="14.4" x14ac:dyDescent="0.3">
      <c r="A12" s="50" t="s">
        <v>94</v>
      </c>
      <c r="B12" s="50"/>
      <c r="C12" s="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R12" s="21"/>
      <c r="S12" s="21"/>
    </row>
    <row r="13" spans="1:19" ht="14.4" x14ac:dyDescent="0.3">
      <c r="A13">
        <v>0.97</v>
      </c>
      <c r="B13" s="3">
        <v>10</v>
      </c>
      <c r="C13" s="12">
        <v>0.72222222222222221</v>
      </c>
      <c r="D13" s="3">
        <v>10.041666666666666</v>
      </c>
      <c r="E13" s="23">
        <v>19</v>
      </c>
      <c r="F13" s="23">
        <v>12</v>
      </c>
      <c r="G13" s="23">
        <v>16</v>
      </c>
      <c r="H13" s="23">
        <v>12</v>
      </c>
      <c r="I13" s="23">
        <v>14</v>
      </c>
      <c r="J13" s="23">
        <v>14</v>
      </c>
      <c r="K13" s="23">
        <v>12</v>
      </c>
      <c r="L13" s="23">
        <v>21</v>
      </c>
      <c r="M13" s="23">
        <v>13</v>
      </c>
      <c r="N13" s="23">
        <v>22</v>
      </c>
      <c r="O13" s="23">
        <v>11</v>
      </c>
      <c r="P13" s="23">
        <v>12</v>
      </c>
      <c r="R13" s="21">
        <f>AVERAGE(E13:P13)</f>
        <v>14.833333333333334</v>
      </c>
      <c r="S13" s="21">
        <f>_xlfn.STDEV.P(E13:P13)/SQRT(12)</f>
        <v>1.0529939678347149</v>
      </c>
    </row>
    <row r="14" spans="1:19" ht="14.4" x14ac:dyDescent="0.3">
      <c r="A14">
        <v>0.99</v>
      </c>
      <c r="B14" s="3">
        <v>10</v>
      </c>
      <c r="C14" s="12">
        <v>0.72222222222222221</v>
      </c>
      <c r="D14" s="3">
        <v>10.041666666666666</v>
      </c>
      <c r="E14" s="23">
        <v>36</v>
      </c>
      <c r="F14" s="23">
        <v>34</v>
      </c>
      <c r="G14" s="23">
        <v>35</v>
      </c>
      <c r="H14" s="23">
        <v>37</v>
      </c>
      <c r="I14" s="23">
        <v>36</v>
      </c>
      <c r="J14" s="23">
        <v>38</v>
      </c>
      <c r="K14" s="23">
        <v>39</v>
      </c>
      <c r="L14" s="23">
        <v>36</v>
      </c>
      <c r="M14" s="23">
        <v>36</v>
      </c>
      <c r="N14" s="23">
        <v>38</v>
      </c>
      <c r="O14" s="23">
        <v>36</v>
      </c>
      <c r="P14" s="23">
        <v>38</v>
      </c>
      <c r="R14" s="21">
        <f>AVERAGE(E14:P14)</f>
        <v>36.583333333333336</v>
      </c>
      <c r="S14" s="21">
        <f>_xlfn.STDEV.P(E14:P14)/SQRT(12)</f>
        <v>0.39892796156514093</v>
      </c>
    </row>
    <row r="15" spans="1:19" ht="14.4" x14ac:dyDescent="0.3">
      <c r="A15">
        <v>0.97</v>
      </c>
      <c r="B15" s="3">
        <v>4</v>
      </c>
      <c r="C15" s="12">
        <v>0.82291666666666663</v>
      </c>
      <c r="D15" s="3">
        <v>4.135416666666667</v>
      </c>
      <c r="E15" s="2">
        <v>9</v>
      </c>
      <c r="F15" s="2">
        <v>7</v>
      </c>
      <c r="G15" s="2">
        <v>5</v>
      </c>
      <c r="H15" s="2">
        <v>5</v>
      </c>
      <c r="I15" s="2">
        <v>9</v>
      </c>
      <c r="J15" s="2">
        <v>8</v>
      </c>
      <c r="K15" s="2">
        <v>8</v>
      </c>
      <c r="L15" s="2">
        <v>8</v>
      </c>
      <c r="M15" s="2">
        <v>8</v>
      </c>
      <c r="N15" s="2">
        <v>10</v>
      </c>
      <c r="O15" s="2">
        <v>7</v>
      </c>
      <c r="P15" s="2">
        <v>10</v>
      </c>
      <c r="R15" s="21">
        <f t="shared" ref="R15:R18" si="2">AVERAGE(E15:P15)</f>
        <v>7.833333333333333</v>
      </c>
      <c r="S15" s="21">
        <f t="shared" ref="S15:S18" si="3">_xlfn.STDEV.P(E15:P15)/SQRT(12)</f>
        <v>0.45389262884356096</v>
      </c>
    </row>
    <row r="16" spans="1:19" ht="14.4" x14ac:dyDescent="0.3">
      <c r="A16">
        <v>0.97</v>
      </c>
      <c r="B16" s="3">
        <v>15</v>
      </c>
      <c r="C16" s="12">
        <v>0.72916666666666663</v>
      </c>
      <c r="D16" s="3">
        <v>15.041666666666666</v>
      </c>
      <c r="E16" s="23">
        <v>33</v>
      </c>
      <c r="F16" s="23">
        <v>32</v>
      </c>
      <c r="G16" s="23">
        <v>32</v>
      </c>
      <c r="H16" s="23">
        <v>28</v>
      </c>
      <c r="I16" s="23">
        <v>29</v>
      </c>
      <c r="J16" s="23">
        <v>29</v>
      </c>
      <c r="K16" s="23">
        <v>25</v>
      </c>
      <c r="L16" s="23">
        <v>26</v>
      </c>
      <c r="M16" s="23">
        <v>26</v>
      </c>
      <c r="N16" s="23">
        <v>36</v>
      </c>
      <c r="O16" s="23">
        <v>27</v>
      </c>
      <c r="P16" s="23">
        <v>41</v>
      </c>
      <c r="R16" s="21">
        <f t="shared" si="2"/>
        <v>30.333333333333332</v>
      </c>
      <c r="S16" s="21">
        <f t="shared" si="3"/>
        <v>1.3034853562944519</v>
      </c>
    </row>
    <row r="17" spans="1:19" ht="14.4" x14ac:dyDescent="0.3">
      <c r="A17">
        <v>0.99</v>
      </c>
      <c r="B17" s="3">
        <v>4</v>
      </c>
      <c r="C17" s="12">
        <v>0.82291666666666663</v>
      </c>
      <c r="D17" s="3">
        <v>4.135416666666667</v>
      </c>
      <c r="E17" s="2">
        <v>10</v>
      </c>
      <c r="F17" s="2">
        <v>10</v>
      </c>
      <c r="G17" s="2">
        <v>11</v>
      </c>
      <c r="H17" s="2">
        <v>10</v>
      </c>
      <c r="I17" s="2">
        <v>11</v>
      </c>
      <c r="J17" s="2">
        <v>11</v>
      </c>
      <c r="K17" s="2">
        <v>13</v>
      </c>
      <c r="L17" s="2">
        <v>15</v>
      </c>
      <c r="M17" s="2">
        <v>12</v>
      </c>
      <c r="N17" s="2">
        <v>15</v>
      </c>
      <c r="O17" s="2">
        <v>8</v>
      </c>
      <c r="P17" s="2">
        <v>11</v>
      </c>
      <c r="R17" s="21">
        <f t="shared" si="2"/>
        <v>11.416666666666666</v>
      </c>
      <c r="S17" s="21">
        <f t="shared" si="3"/>
        <v>0.57079784966762559</v>
      </c>
    </row>
    <row r="18" spans="1:19" ht="14.4" x14ac:dyDescent="0.3">
      <c r="A18">
        <v>0.99</v>
      </c>
      <c r="B18" s="3">
        <v>15</v>
      </c>
      <c r="C18" s="12">
        <v>0.72916666666666663</v>
      </c>
      <c r="D18" s="3">
        <v>15.03125</v>
      </c>
      <c r="E18" s="23">
        <v>62</v>
      </c>
      <c r="F18" s="23">
        <v>62</v>
      </c>
      <c r="G18" s="23">
        <v>61</v>
      </c>
      <c r="H18" s="23">
        <v>63</v>
      </c>
      <c r="I18" s="23">
        <v>64</v>
      </c>
      <c r="J18" s="23">
        <v>65</v>
      </c>
      <c r="K18" s="23">
        <v>65</v>
      </c>
      <c r="L18" s="23">
        <v>60</v>
      </c>
      <c r="M18" s="23">
        <v>67</v>
      </c>
      <c r="N18" s="23">
        <v>62</v>
      </c>
      <c r="O18" s="23">
        <v>65</v>
      </c>
      <c r="P18" s="23">
        <v>64</v>
      </c>
      <c r="R18" s="21">
        <f t="shared" si="2"/>
        <v>63.333333333333336</v>
      </c>
      <c r="S18" s="21">
        <f t="shared" si="3"/>
        <v>0.5569427126600951</v>
      </c>
    </row>
    <row r="21" spans="1:19" ht="14.4" x14ac:dyDescent="0.3">
      <c r="C21" s="50" t="s">
        <v>94</v>
      </c>
      <c r="D21" s="50"/>
      <c r="F21" s="50" t="s">
        <v>93</v>
      </c>
      <c r="G21" s="50"/>
    </row>
    <row r="22" spans="1:19" x14ac:dyDescent="0.25">
      <c r="A22" s="53">
        <v>0.97</v>
      </c>
      <c r="B22">
        <v>5</v>
      </c>
      <c r="C22" s="21">
        <v>7.833333333333333</v>
      </c>
      <c r="D22" s="21">
        <v>0.45389262884356096</v>
      </c>
      <c r="E22" s="21"/>
      <c r="F22" s="21">
        <v>8.8333333333333339</v>
      </c>
      <c r="G22" s="21">
        <v>0.70546806106668303</v>
      </c>
    </row>
    <row r="23" spans="1:19" x14ac:dyDescent="0.25">
      <c r="A23" s="53"/>
      <c r="B23">
        <v>10</v>
      </c>
      <c r="C23" s="21">
        <v>14.833333333333334</v>
      </c>
      <c r="D23" s="21">
        <v>1.0529939678347149</v>
      </c>
      <c r="E23" s="21"/>
      <c r="F23" s="21">
        <v>19.833333333333332</v>
      </c>
      <c r="G23" s="21">
        <v>0.65440105496609702</v>
      </c>
    </row>
    <row r="24" spans="1:19" x14ac:dyDescent="0.25">
      <c r="A24" s="53"/>
      <c r="B24">
        <v>15</v>
      </c>
      <c r="C24" s="21">
        <v>30.333333333333332</v>
      </c>
      <c r="D24" s="21">
        <v>1.3034853562944519</v>
      </c>
      <c r="E24" s="21"/>
      <c r="F24" s="21">
        <v>35.083333333333336</v>
      </c>
      <c r="G24" s="21">
        <v>0.60619869007764426</v>
      </c>
    </row>
    <row r="25" spans="1:19" x14ac:dyDescent="0.25">
      <c r="A25" s="53">
        <v>0.99</v>
      </c>
      <c r="B25">
        <v>5</v>
      </c>
      <c r="C25" s="21">
        <v>11.416666666666666</v>
      </c>
      <c r="D25" s="21">
        <v>0.57079784966762559</v>
      </c>
      <c r="E25" s="21"/>
      <c r="F25" s="21">
        <v>14.25</v>
      </c>
      <c r="G25" s="21">
        <v>0.66796748091172498</v>
      </c>
    </row>
    <row r="26" spans="1:19" x14ac:dyDescent="0.25">
      <c r="A26" s="53"/>
      <c r="B26">
        <v>10</v>
      </c>
      <c r="C26" s="21">
        <v>36.583333333333336</v>
      </c>
      <c r="D26" s="21">
        <v>0.39892796156514093</v>
      </c>
      <c r="E26" s="21"/>
      <c r="F26" s="21">
        <v>39.5</v>
      </c>
      <c r="G26" s="21">
        <v>0.75000000000000011</v>
      </c>
    </row>
    <row r="27" spans="1:19" x14ac:dyDescent="0.25">
      <c r="A27" s="53"/>
      <c r="B27">
        <v>15</v>
      </c>
      <c r="C27" s="21">
        <v>63.333333333333336</v>
      </c>
      <c r="D27" s="21">
        <v>0.5569427126600951</v>
      </c>
      <c r="E27" s="21"/>
      <c r="F27" s="21">
        <v>63.5</v>
      </c>
      <c r="G27" s="21">
        <v>0.82073815014967544</v>
      </c>
    </row>
  </sheetData>
  <mergeCells count="6">
    <mergeCell ref="F21:G21"/>
    <mergeCell ref="A25:A27"/>
    <mergeCell ref="A22:A24"/>
    <mergeCell ref="A4:B4"/>
    <mergeCell ref="A12:B12"/>
    <mergeCell ref="C21:D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S30"/>
  <sheetViews>
    <sheetView zoomScale="80" zoomScaleNormal="80" workbookViewId="0">
      <selection activeCell="A27" activeCellId="3" sqref="A6:O6 A11:O11 A22:O22 A27:O27"/>
    </sheetView>
  </sheetViews>
  <sheetFormatPr defaultRowHeight="13.8" x14ac:dyDescent="0.25"/>
  <cols>
    <col min="3" max="3" width="10.69921875" bestFit="1" customWidth="1"/>
    <col min="62" max="62" width="25.8984375" bestFit="1" customWidth="1"/>
  </cols>
  <sheetData>
    <row r="1" spans="1:71" ht="21" x14ac:dyDescent="0.4">
      <c r="C1" s="11">
        <v>0.97</v>
      </c>
      <c r="D1" s="2"/>
      <c r="E1" s="2"/>
      <c r="F1" s="2"/>
      <c r="G1" s="2"/>
      <c r="H1" s="2"/>
      <c r="I1" s="2"/>
    </row>
    <row r="3" spans="1:71" ht="15" thickBot="1" x14ac:dyDescent="0.35">
      <c r="C3" s="2">
        <v>15</v>
      </c>
      <c r="D3" s="2"/>
      <c r="E3" s="2"/>
      <c r="F3" s="2"/>
      <c r="G3" s="2"/>
      <c r="H3" s="2"/>
      <c r="I3" s="2"/>
    </row>
    <row r="4" spans="1:71" ht="15" thickBot="1" x14ac:dyDescent="0.35">
      <c r="B4" s="16">
        <v>0.6875</v>
      </c>
      <c r="C4" s="3" t="s">
        <v>0</v>
      </c>
      <c r="D4" s="35">
        <v>1</v>
      </c>
      <c r="E4" s="34"/>
      <c r="F4" s="35">
        <v>2</v>
      </c>
      <c r="G4" s="34"/>
      <c r="H4" s="35">
        <v>3</v>
      </c>
      <c r="I4" s="34"/>
      <c r="J4" s="35">
        <v>4</v>
      </c>
      <c r="K4" s="34"/>
      <c r="L4" s="35">
        <v>5</v>
      </c>
      <c r="M4" s="34"/>
      <c r="N4" s="33">
        <v>6</v>
      </c>
      <c r="O4" s="34"/>
      <c r="Q4" s="4">
        <v>1</v>
      </c>
      <c r="R4" s="4">
        <v>2</v>
      </c>
      <c r="S4" s="4">
        <v>3</v>
      </c>
      <c r="T4" s="4">
        <v>4</v>
      </c>
      <c r="U4" s="4">
        <v>5</v>
      </c>
      <c r="V4" s="4">
        <v>6</v>
      </c>
      <c r="BR4" s="17">
        <v>0.97</v>
      </c>
    </row>
    <row r="5" spans="1:71" ht="14.4" x14ac:dyDescent="0.3">
      <c r="A5" s="3">
        <v>2</v>
      </c>
      <c r="B5" s="12">
        <v>0.8125</v>
      </c>
      <c r="C5" s="3">
        <f>(48+3)/24</f>
        <v>2.125</v>
      </c>
      <c r="D5" s="2">
        <v>9</v>
      </c>
      <c r="E5" s="2">
        <v>7</v>
      </c>
      <c r="F5" s="2">
        <v>5</v>
      </c>
      <c r="G5" s="2">
        <v>5</v>
      </c>
      <c r="H5" s="2">
        <v>9</v>
      </c>
      <c r="I5" s="2">
        <v>8</v>
      </c>
      <c r="J5" s="2">
        <v>8</v>
      </c>
      <c r="K5" s="2">
        <v>8</v>
      </c>
      <c r="L5" s="2">
        <v>8</v>
      </c>
      <c r="M5" s="2">
        <v>10</v>
      </c>
      <c r="N5" s="2">
        <v>7</v>
      </c>
      <c r="O5" s="2">
        <v>10</v>
      </c>
      <c r="Q5">
        <f t="shared" ref="Q5:Q17" si="0">SUM(D5:E5)/2</f>
        <v>8</v>
      </c>
      <c r="R5">
        <f t="shared" ref="R5:R17" si="1">SUM(F5:G5)/2</f>
        <v>5</v>
      </c>
      <c r="S5">
        <f t="shared" ref="S5:S17" si="2">SUM(H5:I5)/2</f>
        <v>8.5</v>
      </c>
      <c r="T5">
        <f t="shared" ref="T5:T17" si="3">SUM(J5:K5)/2</f>
        <v>8</v>
      </c>
      <c r="U5">
        <f t="shared" ref="U5:U17" si="4">SUM(L5:M5)/2</f>
        <v>9</v>
      </c>
      <c r="V5">
        <f t="shared" ref="V5:V13" si="5">SUM(N5:O5)/2</f>
        <v>8.5</v>
      </c>
      <c r="BK5">
        <v>8</v>
      </c>
      <c r="BL5">
        <v>5</v>
      </c>
      <c r="BM5">
        <v>8.5</v>
      </c>
      <c r="BN5">
        <v>8</v>
      </c>
      <c r="BO5">
        <v>9</v>
      </c>
    </row>
    <row r="6" spans="1:71" ht="14.4" x14ac:dyDescent="0.3">
      <c r="A6" s="3">
        <v>4</v>
      </c>
      <c r="B6" s="12">
        <v>0.82291666666666663</v>
      </c>
      <c r="C6" s="3">
        <f>(96+3.25)/24</f>
        <v>4.135416666666667</v>
      </c>
      <c r="D6" s="2">
        <v>9</v>
      </c>
      <c r="E6" s="2">
        <v>7</v>
      </c>
      <c r="F6" s="2">
        <v>5</v>
      </c>
      <c r="G6" s="2">
        <v>5</v>
      </c>
      <c r="H6" s="2">
        <v>9</v>
      </c>
      <c r="I6" s="2">
        <v>8</v>
      </c>
      <c r="J6" s="2">
        <v>8</v>
      </c>
      <c r="K6" s="2">
        <v>8</v>
      </c>
      <c r="L6" s="2">
        <v>8</v>
      </c>
      <c r="M6" s="2">
        <v>10</v>
      </c>
      <c r="N6" s="2">
        <v>7</v>
      </c>
      <c r="O6" s="2">
        <v>10</v>
      </c>
      <c r="Q6">
        <f t="shared" si="0"/>
        <v>8</v>
      </c>
      <c r="R6">
        <f t="shared" si="1"/>
        <v>5</v>
      </c>
      <c r="S6">
        <f t="shared" si="2"/>
        <v>8.5</v>
      </c>
      <c r="T6">
        <f t="shared" si="3"/>
        <v>8</v>
      </c>
      <c r="U6">
        <f t="shared" si="4"/>
        <v>9</v>
      </c>
      <c r="V6">
        <f t="shared" si="5"/>
        <v>8.5</v>
      </c>
      <c r="BJ6" s="5" t="s">
        <v>3</v>
      </c>
      <c r="BK6" s="6">
        <v>1</v>
      </c>
      <c r="BL6" s="6">
        <v>2</v>
      </c>
      <c r="BM6" s="6">
        <v>3</v>
      </c>
      <c r="BN6" s="6">
        <v>4</v>
      </c>
      <c r="BO6" s="6">
        <v>5</v>
      </c>
      <c r="BP6" s="6"/>
      <c r="BR6" s="13" t="s">
        <v>4</v>
      </c>
      <c r="BS6" s="14" t="s">
        <v>5</v>
      </c>
    </row>
    <row r="7" spans="1:71" ht="14.4" x14ac:dyDescent="0.3">
      <c r="A7" s="3">
        <v>6</v>
      </c>
      <c r="B7" s="12">
        <v>0.86111111111111116</v>
      </c>
      <c r="C7" s="3">
        <f>(144+4.66)/24</f>
        <v>6.1941666666666668</v>
      </c>
      <c r="D7" s="23">
        <v>14</v>
      </c>
      <c r="E7" s="23">
        <v>8</v>
      </c>
      <c r="F7" s="23">
        <v>10</v>
      </c>
      <c r="G7" s="23">
        <v>8</v>
      </c>
      <c r="H7" s="23">
        <v>9</v>
      </c>
      <c r="I7" s="23">
        <v>9</v>
      </c>
      <c r="J7" s="23">
        <v>7</v>
      </c>
      <c r="K7" s="23">
        <v>7</v>
      </c>
      <c r="L7" s="23">
        <v>8</v>
      </c>
      <c r="M7" s="23">
        <v>15</v>
      </c>
      <c r="N7" s="23">
        <v>7</v>
      </c>
      <c r="O7" s="23">
        <v>12</v>
      </c>
      <c r="Q7">
        <f t="shared" si="0"/>
        <v>11</v>
      </c>
      <c r="R7">
        <f t="shared" si="1"/>
        <v>9</v>
      </c>
      <c r="S7">
        <f t="shared" si="2"/>
        <v>9</v>
      </c>
      <c r="T7">
        <f t="shared" si="3"/>
        <v>7</v>
      </c>
      <c r="U7">
        <f t="shared" si="4"/>
        <v>11.5</v>
      </c>
      <c r="V7">
        <f t="shared" si="5"/>
        <v>9.5</v>
      </c>
      <c r="BJ7" s="6" t="s">
        <v>6</v>
      </c>
      <c r="BK7" s="8">
        <f>BL10</f>
        <v>3.0118</v>
      </c>
      <c r="BL7" s="8">
        <f>BL11</f>
        <v>3.1717</v>
      </c>
      <c r="BM7" s="8">
        <f>BL12</f>
        <v>3.0061</v>
      </c>
      <c r="BN7" s="8">
        <f>BL13</f>
        <v>2.9940000000000002</v>
      </c>
      <c r="BO7" s="9">
        <f>BL14</f>
        <v>2.9329999999999998</v>
      </c>
      <c r="BP7" s="8"/>
      <c r="BR7" s="15">
        <f>SUM(BK7:BO7)/5</f>
        <v>3.02332</v>
      </c>
      <c r="BS7" s="15">
        <f>_xlfn.STDEV.P(BK7:BO7)/SQRT(5)</f>
        <v>3.5475753973664891E-2</v>
      </c>
    </row>
    <row r="8" spans="1:71" ht="14.4" x14ac:dyDescent="0.3">
      <c r="A8" s="3">
        <v>8</v>
      </c>
      <c r="B8" s="12">
        <v>0.72222222222222221</v>
      </c>
      <c r="C8" s="3">
        <f>(192+1)/24</f>
        <v>8.0416666666666661</v>
      </c>
      <c r="D8" s="2">
        <v>14</v>
      </c>
      <c r="E8" s="2">
        <v>8</v>
      </c>
      <c r="F8" s="2">
        <v>12</v>
      </c>
      <c r="G8" s="2">
        <v>9</v>
      </c>
      <c r="H8" s="2">
        <v>10</v>
      </c>
      <c r="I8" s="2">
        <v>10</v>
      </c>
      <c r="J8" s="2">
        <v>9</v>
      </c>
      <c r="K8" s="2">
        <v>8</v>
      </c>
      <c r="L8" s="2">
        <v>10</v>
      </c>
      <c r="M8" s="2">
        <v>18</v>
      </c>
      <c r="N8" s="2">
        <v>9</v>
      </c>
      <c r="O8" s="2">
        <v>11</v>
      </c>
      <c r="Q8">
        <f t="shared" si="0"/>
        <v>11</v>
      </c>
      <c r="R8">
        <f t="shared" si="1"/>
        <v>10.5</v>
      </c>
      <c r="S8">
        <f t="shared" si="2"/>
        <v>10</v>
      </c>
      <c r="T8">
        <f t="shared" si="3"/>
        <v>8.5</v>
      </c>
      <c r="U8">
        <f t="shared" si="4"/>
        <v>14</v>
      </c>
      <c r="V8">
        <f t="shared" si="5"/>
        <v>10</v>
      </c>
      <c r="BJ8" s="6" t="s">
        <v>7</v>
      </c>
      <c r="BK8" s="8">
        <f xml:space="preserve"> (8+BN10)/BK7</f>
        <v>7.3517497841822159</v>
      </c>
      <c r="BL8" s="8">
        <f xml:space="preserve"> (8+BN11)/BL7</f>
        <v>7.8926127944004794</v>
      </c>
      <c r="BM8" s="8">
        <f xml:space="preserve"> (8+BN12)/BM7</f>
        <v>7.9298759189647718</v>
      </c>
      <c r="BN8" s="8">
        <f xml:space="preserve"> (8+BN13)/BN7</f>
        <v>8.3380093520374068</v>
      </c>
      <c r="BO8" s="8">
        <f xml:space="preserve"> (8+BN14)/BO7</f>
        <v>6.1246164336856461</v>
      </c>
      <c r="BP8" s="8"/>
      <c r="BR8" s="15">
        <f>SUM(BK8:BO8)/5</f>
        <v>7.5273728566541038</v>
      </c>
      <c r="BS8" s="15">
        <f>_xlfn.STDEV.P(BK8:BO8)/SQRT(5)</f>
        <v>0.34357587230220227</v>
      </c>
    </row>
    <row r="9" spans="1:71" ht="14.4" x14ac:dyDescent="0.3">
      <c r="A9" s="3">
        <v>10</v>
      </c>
      <c r="B9" s="12">
        <v>0.72222222222222221</v>
      </c>
      <c r="C9" s="3">
        <f>(240+1)/24</f>
        <v>10.041666666666666</v>
      </c>
      <c r="D9" s="23">
        <v>19</v>
      </c>
      <c r="E9" s="23">
        <v>12</v>
      </c>
      <c r="F9" s="23">
        <v>16</v>
      </c>
      <c r="G9" s="23">
        <v>12</v>
      </c>
      <c r="H9" s="23">
        <v>14</v>
      </c>
      <c r="I9" s="23">
        <v>14</v>
      </c>
      <c r="J9" s="23">
        <v>12</v>
      </c>
      <c r="K9" s="23">
        <v>21</v>
      </c>
      <c r="L9" s="23">
        <v>13</v>
      </c>
      <c r="M9" s="23">
        <v>22</v>
      </c>
      <c r="N9" s="23">
        <v>11</v>
      </c>
      <c r="O9" s="23">
        <v>12</v>
      </c>
      <c r="Q9">
        <f t="shared" si="0"/>
        <v>15.5</v>
      </c>
      <c r="R9">
        <f t="shared" si="1"/>
        <v>14</v>
      </c>
      <c r="S9">
        <f t="shared" si="2"/>
        <v>14</v>
      </c>
      <c r="T9">
        <f t="shared" si="3"/>
        <v>16.5</v>
      </c>
      <c r="U9">
        <f t="shared" si="4"/>
        <v>17.5</v>
      </c>
      <c r="V9">
        <f t="shared" si="5"/>
        <v>11.5</v>
      </c>
    </row>
    <row r="10" spans="1:71" ht="14.4" x14ac:dyDescent="0.3">
      <c r="A10" s="3">
        <v>13</v>
      </c>
      <c r="B10" s="12">
        <v>0.53125</v>
      </c>
      <c r="C10" s="3">
        <f>(312-3.75)/24</f>
        <v>12.84375</v>
      </c>
      <c r="D10" s="2">
        <v>25</v>
      </c>
      <c r="E10" s="2">
        <v>21</v>
      </c>
      <c r="F10" s="2">
        <v>25</v>
      </c>
      <c r="G10" s="2">
        <v>21</v>
      </c>
      <c r="H10" s="2">
        <v>22</v>
      </c>
      <c r="I10" s="2">
        <v>21</v>
      </c>
      <c r="J10" s="2">
        <v>18</v>
      </c>
      <c r="K10" s="2">
        <v>20</v>
      </c>
      <c r="L10" s="2">
        <v>20</v>
      </c>
      <c r="M10" s="2">
        <v>29</v>
      </c>
      <c r="N10" s="2">
        <v>21</v>
      </c>
      <c r="O10" s="2">
        <v>33</v>
      </c>
      <c r="Q10">
        <f t="shared" si="0"/>
        <v>23</v>
      </c>
      <c r="R10">
        <f t="shared" si="1"/>
        <v>23</v>
      </c>
      <c r="S10">
        <f t="shared" si="2"/>
        <v>21.5</v>
      </c>
      <c r="T10">
        <f t="shared" si="3"/>
        <v>19</v>
      </c>
      <c r="U10">
        <f t="shared" si="4"/>
        <v>24.5</v>
      </c>
      <c r="V10">
        <f t="shared" si="5"/>
        <v>27</v>
      </c>
      <c r="BJ10" t="s">
        <v>16</v>
      </c>
      <c r="BK10" t="s">
        <v>17</v>
      </c>
      <c r="BL10">
        <v>3.0118</v>
      </c>
      <c r="BM10" t="s">
        <v>18</v>
      </c>
      <c r="BN10">
        <v>14.141999999999999</v>
      </c>
    </row>
    <row r="11" spans="1:71" ht="14.4" x14ac:dyDescent="0.3">
      <c r="A11" s="3">
        <v>15</v>
      </c>
      <c r="B11" s="12">
        <v>0.72916666666666663</v>
      </c>
      <c r="C11" s="3">
        <f>((24*A11)+1)/24</f>
        <v>15.041666666666666</v>
      </c>
      <c r="D11" s="23">
        <v>33</v>
      </c>
      <c r="E11" s="23">
        <v>32</v>
      </c>
      <c r="F11" s="23">
        <v>32</v>
      </c>
      <c r="G11" s="23">
        <v>28</v>
      </c>
      <c r="H11" s="23">
        <v>29</v>
      </c>
      <c r="I11" s="23">
        <v>29</v>
      </c>
      <c r="J11" s="23">
        <v>25</v>
      </c>
      <c r="K11" s="23">
        <v>26</v>
      </c>
      <c r="L11" s="23">
        <v>26</v>
      </c>
      <c r="M11" s="23">
        <v>36</v>
      </c>
      <c r="N11" s="23">
        <v>27</v>
      </c>
      <c r="O11" s="23">
        <v>41</v>
      </c>
      <c r="Q11">
        <f t="shared" si="0"/>
        <v>32.5</v>
      </c>
      <c r="R11">
        <f t="shared" si="1"/>
        <v>30</v>
      </c>
      <c r="S11">
        <f t="shared" si="2"/>
        <v>29</v>
      </c>
      <c r="T11">
        <f t="shared" si="3"/>
        <v>25.5</v>
      </c>
      <c r="U11">
        <f t="shared" si="4"/>
        <v>31</v>
      </c>
      <c r="V11">
        <f t="shared" si="5"/>
        <v>34</v>
      </c>
      <c r="BJ11" t="s">
        <v>16</v>
      </c>
      <c r="BK11" t="s">
        <v>17</v>
      </c>
      <c r="BL11">
        <v>3.1717</v>
      </c>
      <c r="BM11" t="s">
        <v>18</v>
      </c>
      <c r="BN11">
        <v>17.033000000000001</v>
      </c>
    </row>
    <row r="12" spans="1:71" ht="14.4" x14ac:dyDescent="0.3">
      <c r="A12" s="3">
        <v>17</v>
      </c>
      <c r="B12" s="12">
        <v>0.71875</v>
      </c>
      <c r="C12" s="3">
        <f>((24*A12)+0.75)/24</f>
        <v>17.03125</v>
      </c>
      <c r="D12" s="2">
        <v>40</v>
      </c>
      <c r="E12" s="2">
        <v>34</v>
      </c>
      <c r="F12" s="2">
        <v>38</v>
      </c>
      <c r="G12" s="2">
        <v>35</v>
      </c>
      <c r="H12" s="2">
        <v>36</v>
      </c>
      <c r="I12" s="2">
        <v>35</v>
      </c>
      <c r="J12" s="2">
        <v>33</v>
      </c>
      <c r="K12" s="2">
        <v>33</v>
      </c>
      <c r="L12" s="2">
        <v>44</v>
      </c>
      <c r="M12" s="2">
        <v>43</v>
      </c>
      <c r="N12" s="2">
        <v>34</v>
      </c>
      <c r="O12" s="2">
        <v>46</v>
      </c>
      <c r="Q12">
        <f t="shared" si="0"/>
        <v>37</v>
      </c>
      <c r="R12">
        <f t="shared" si="1"/>
        <v>36.5</v>
      </c>
      <c r="S12">
        <f t="shared" si="2"/>
        <v>35.5</v>
      </c>
      <c r="T12">
        <f t="shared" si="3"/>
        <v>33</v>
      </c>
      <c r="U12">
        <f t="shared" si="4"/>
        <v>43.5</v>
      </c>
      <c r="V12">
        <f t="shared" si="5"/>
        <v>40</v>
      </c>
      <c r="BJ12" t="s">
        <v>16</v>
      </c>
      <c r="BK12" t="s">
        <v>17</v>
      </c>
      <c r="BL12">
        <v>3.0061</v>
      </c>
      <c r="BM12" t="s">
        <v>18</v>
      </c>
      <c r="BN12">
        <v>15.837999999999999</v>
      </c>
    </row>
    <row r="13" spans="1:71" ht="14.4" x14ac:dyDescent="0.3">
      <c r="A13" s="3">
        <v>20</v>
      </c>
      <c r="B13" s="3">
        <v>13.33</v>
      </c>
      <c r="C13" s="3">
        <f>((24*A13)+(B13-16.5))/24</f>
        <v>19.867916666666666</v>
      </c>
      <c r="D13" s="2">
        <v>50</v>
      </c>
      <c r="E13" s="2">
        <v>42</v>
      </c>
      <c r="F13" s="2">
        <v>47</v>
      </c>
      <c r="G13" s="2">
        <v>45</v>
      </c>
      <c r="H13" s="2">
        <v>43</v>
      </c>
      <c r="I13" s="2">
        <v>45</v>
      </c>
      <c r="J13" s="2">
        <v>41</v>
      </c>
      <c r="K13" s="2">
        <v>41</v>
      </c>
      <c r="L13" s="2">
        <v>52</v>
      </c>
      <c r="M13" s="2">
        <v>51</v>
      </c>
      <c r="N13" s="2">
        <v>43</v>
      </c>
      <c r="O13" s="2">
        <v>55</v>
      </c>
      <c r="Q13">
        <f t="shared" si="0"/>
        <v>46</v>
      </c>
      <c r="R13">
        <f t="shared" si="1"/>
        <v>46</v>
      </c>
      <c r="S13">
        <f t="shared" si="2"/>
        <v>44</v>
      </c>
      <c r="T13">
        <f t="shared" si="3"/>
        <v>41</v>
      </c>
      <c r="U13">
        <f t="shared" si="4"/>
        <v>51.5</v>
      </c>
      <c r="V13">
        <f t="shared" si="5"/>
        <v>49</v>
      </c>
      <c r="BJ13" t="s">
        <v>16</v>
      </c>
      <c r="BK13" t="s">
        <v>17</v>
      </c>
      <c r="BL13">
        <v>2.9940000000000002</v>
      </c>
      <c r="BM13" t="s">
        <v>18</v>
      </c>
      <c r="BN13">
        <v>16.963999999999999</v>
      </c>
    </row>
    <row r="14" spans="1:71" ht="14.4" x14ac:dyDescent="0.3">
      <c r="A14" s="3">
        <v>22</v>
      </c>
      <c r="B14" s="1">
        <v>16.66</v>
      </c>
      <c r="C14" s="3">
        <f>((24*A14)+(B14-16.5))/24</f>
        <v>22.006666666666664</v>
      </c>
      <c r="D14" s="2">
        <v>56</v>
      </c>
      <c r="E14" s="2">
        <v>48</v>
      </c>
      <c r="F14" s="2">
        <v>55</v>
      </c>
      <c r="G14" s="2">
        <v>51</v>
      </c>
      <c r="H14" s="2">
        <v>50</v>
      </c>
      <c r="I14" s="2">
        <v>50</v>
      </c>
      <c r="J14" s="2">
        <v>50</v>
      </c>
      <c r="K14" s="2">
        <v>48</v>
      </c>
      <c r="L14" s="2">
        <v>53</v>
      </c>
      <c r="M14" s="2">
        <v>53</v>
      </c>
      <c r="Q14">
        <f t="shared" si="0"/>
        <v>52</v>
      </c>
      <c r="R14">
        <f t="shared" si="1"/>
        <v>53</v>
      </c>
      <c r="S14">
        <f t="shared" si="2"/>
        <v>50</v>
      </c>
      <c r="T14">
        <f t="shared" si="3"/>
        <v>49</v>
      </c>
      <c r="U14">
        <f t="shared" si="4"/>
        <v>53</v>
      </c>
      <c r="BJ14" t="s">
        <v>16</v>
      </c>
      <c r="BK14" t="s">
        <v>17</v>
      </c>
      <c r="BL14">
        <v>2.9329999999999998</v>
      </c>
      <c r="BM14" t="s">
        <v>18</v>
      </c>
      <c r="BN14">
        <v>9.9634999999999998</v>
      </c>
    </row>
    <row r="15" spans="1:71" ht="14.4" x14ac:dyDescent="0.3">
      <c r="A15" s="3">
        <v>24</v>
      </c>
      <c r="B15" s="1">
        <v>18</v>
      </c>
      <c r="C15" s="3">
        <f>((24*A15)+(B15-16.5))/24</f>
        <v>24.0625</v>
      </c>
      <c r="D15" s="2">
        <v>61</v>
      </c>
      <c r="E15" s="2">
        <v>55</v>
      </c>
      <c r="F15" s="2">
        <v>60</v>
      </c>
      <c r="G15" s="2">
        <v>58</v>
      </c>
      <c r="H15" s="2">
        <v>57</v>
      </c>
      <c r="I15" s="2">
        <v>55</v>
      </c>
      <c r="J15" s="2">
        <v>57</v>
      </c>
      <c r="K15" s="2">
        <v>55</v>
      </c>
      <c r="L15" s="2">
        <v>60</v>
      </c>
      <c r="M15" s="2">
        <v>58</v>
      </c>
      <c r="Q15">
        <f t="shared" si="0"/>
        <v>58</v>
      </c>
      <c r="R15">
        <f t="shared" si="1"/>
        <v>59</v>
      </c>
      <c r="S15">
        <f t="shared" si="2"/>
        <v>56</v>
      </c>
      <c r="T15">
        <f t="shared" si="3"/>
        <v>56</v>
      </c>
      <c r="U15">
        <f t="shared" si="4"/>
        <v>59</v>
      </c>
    </row>
    <row r="16" spans="1:71" ht="14.4" x14ac:dyDescent="0.3">
      <c r="A16" s="3">
        <v>26</v>
      </c>
      <c r="B16" s="1">
        <v>19.5</v>
      </c>
      <c r="C16" s="3">
        <f>((24*A16)+(B16-16.5))/24</f>
        <v>26.125</v>
      </c>
      <c r="D16" s="2">
        <v>68</v>
      </c>
      <c r="E16" s="2">
        <v>61</v>
      </c>
      <c r="F16" s="2">
        <v>67</v>
      </c>
      <c r="G16" s="2">
        <v>64</v>
      </c>
      <c r="H16" s="2">
        <v>64</v>
      </c>
      <c r="I16" s="2">
        <v>61</v>
      </c>
      <c r="J16" s="2">
        <v>65</v>
      </c>
      <c r="K16" s="2">
        <v>60</v>
      </c>
      <c r="L16" s="2">
        <v>66</v>
      </c>
      <c r="M16" s="2">
        <v>66</v>
      </c>
      <c r="Q16">
        <f t="shared" si="0"/>
        <v>64.5</v>
      </c>
      <c r="R16">
        <f t="shared" si="1"/>
        <v>65.5</v>
      </c>
      <c r="S16">
        <f t="shared" si="2"/>
        <v>62.5</v>
      </c>
      <c r="T16">
        <f t="shared" si="3"/>
        <v>62.5</v>
      </c>
      <c r="U16">
        <f t="shared" si="4"/>
        <v>66</v>
      </c>
    </row>
    <row r="17" spans="1:71" ht="14.4" x14ac:dyDescent="0.3">
      <c r="A17" s="3">
        <v>29</v>
      </c>
      <c r="B17" s="1">
        <v>13</v>
      </c>
      <c r="C17" s="3">
        <f>((24*A17)+(B17-16.5))/24</f>
        <v>28.854166666666668</v>
      </c>
      <c r="D17" s="2">
        <v>76</v>
      </c>
      <c r="E17" s="2">
        <v>70</v>
      </c>
      <c r="F17" s="2">
        <v>75</v>
      </c>
      <c r="G17" s="2">
        <v>76</v>
      </c>
      <c r="H17" s="2">
        <v>72</v>
      </c>
      <c r="I17" s="2">
        <v>72</v>
      </c>
      <c r="J17" s="2">
        <v>73</v>
      </c>
      <c r="K17" s="2">
        <v>67</v>
      </c>
      <c r="L17" s="2">
        <v>77</v>
      </c>
      <c r="M17" s="2">
        <v>76</v>
      </c>
      <c r="Q17">
        <f t="shared" si="0"/>
        <v>73</v>
      </c>
      <c r="R17">
        <f t="shared" si="1"/>
        <v>75.5</v>
      </c>
      <c r="S17">
        <f t="shared" si="2"/>
        <v>72</v>
      </c>
      <c r="T17">
        <f t="shared" si="3"/>
        <v>70</v>
      </c>
      <c r="U17">
        <f t="shared" si="4"/>
        <v>76.5</v>
      </c>
    </row>
    <row r="18" spans="1:71" ht="21" x14ac:dyDescent="0.4">
      <c r="B18" s="1"/>
      <c r="C18" s="11">
        <v>0.99</v>
      </c>
    </row>
    <row r="19" spans="1:71" ht="14.4" thickBot="1" x14ac:dyDescent="0.3">
      <c r="B19" s="1"/>
      <c r="BR19" s="17">
        <v>0.99</v>
      </c>
    </row>
    <row r="20" spans="1:71" ht="15" thickBot="1" x14ac:dyDescent="0.35">
      <c r="B20" s="16">
        <v>0.6875</v>
      </c>
      <c r="C20" s="3" t="s">
        <v>0</v>
      </c>
      <c r="D20" s="35">
        <v>1</v>
      </c>
      <c r="E20" s="34"/>
      <c r="F20" s="35">
        <v>2</v>
      </c>
      <c r="G20" s="34"/>
      <c r="H20" s="35">
        <v>3</v>
      </c>
      <c r="I20" s="34"/>
      <c r="J20" s="35">
        <v>4</v>
      </c>
      <c r="K20" s="34"/>
      <c r="L20" s="35">
        <v>5</v>
      </c>
      <c r="M20" s="34"/>
      <c r="N20" s="33">
        <v>6</v>
      </c>
      <c r="O20" s="34"/>
      <c r="Q20" s="4">
        <v>1</v>
      </c>
      <c r="R20" s="4">
        <v>2</v>
      </c>
      <c r="S20" s="4">
        <v>3</v>
      </c>
      <c r="T20" s="4">
        <v>4</v>
      </c>
      <c r="U20" s="4">
        <v>5</v>
      </c>
      <c r="V20" s="4">
        <v>6</v>
      </c>
      <c r="BK20">
        <v>7.5</v>
      </c>
      <c r="BL20">
        <v>8.5</v>
      </c>
      <c r="BM20">
        <v>10.5</v>
      </c>
      <c r="BN20">
        <v>7.5</v>
      </c>
      <c r="BO20">
        <v>10.5</v>
      </c>
      <c r="BP20">
        <v>8</v>
      </c>
    </row>
    <row r="21" spans="1:71" ht="14.4" x14ac:dyDescent="0.3">
      <c r="A21" s="3">
        <v>2</v>
      </c>
      <c r="B21" s="12">
        <v>0.8125</v>
      </c>
      <c r="C21" s="3">
        <f>(48+3)/24</f>
        <v>2.125</v>
      </c>
      <c r="D21" s="2">
        <v>8</v>
      </c>
      <c r="E21" s="2">
        <v>7</v>
      </c>
      <c r="F21" s="2">
        <v>8</v>
      </c>
      <c r="G21" s="2">
        <v>9</v>
      </c>
      <c r="H21" s="2">
        <v>11</v>
      </c>
      <c r="I21" s="2">
        <v>10</v>
      </c>
      <c r="J21" s="2">
        <v>6</v>
      </c>
      <c r="K21" s="2">
        <v>9</v>
      </c>
      <c r="L21" s="2">
        <v>11</v>
      </c>
      <c r="M21" s="2">
        <v>10</v>
      </c>
      <c r="N21" s="2">
        <v>6</v>
      </c>
      <c r="O21" s="2">
        <v>10</v>
      </c>
      <c r="Q21">
        <f t="shared" ref="Q21:Q29" si="6">SUM(D21:E21)/2</f>
        <v>7.5</v>
      </c>
      <c r="R21">
        <f t="shared" ref="R21:R28" si="7">SUM(F21:G21)/2</f>
        <v>8.5</v>
      </c>
      <c r="S21">
        <f t="shared" ref="S21:S28" si="8">SUM(H21:I21)/2</f>
        <v>10.5</v>
      </c>
      <c r="T21">
        <f t="shared" ref="T21:T28" si="9">SUM(J21:K21)/2</f>
        <v>7.5</v>
      </c>
      <c r="U21">
        <f t="shared" ref="U21:U28" si="10">SUM(L21:M21)/2</f>
        <v>10.5</v>
      </c>
      <c r="V21">
        <f t="shared" ref="V21:V25" si="11">SUM(N21:O21)/2</f>
        <v>8</v>
      </c>
      <c r="BJ21" s="5" t="s">
        <v>3</v>
      </c>
      <c r="BK21" s="6">
        <v>1</v>
      </c>
      <c r="BL21" s="6">
        <v>2</v>
      </c>
      <c r="BM21" s="6">
        <v>3</v>
      </c>
      <c r="BN21" s="6">
        <v>4</v>
      </c>
      <c r="BO21" s="6">
        <v>5</v>
      </c>
      <c r="BP21" s="6">
        <v>6</v>
      </c>
      <c r="BR21" s="13" t="s">
        <v>4</v>
      </c>
      <c r="BS21" s="14" t="s">
        <v>5</v>
      </c>
    </row>
    <row r="22" spans="1:71" ht="14.4" x14ac:dyDescent="0.3">
      <c r="A22" s="3">
        <v>4</v>
      </c>
      <c r="B22" s="12">
        <v>0.82291666666666663</v>
      </c>
      <c r="C22" s="3">
        <f>(96+3.25)/24</f>
        <v>4.135416666666667</v>
      </c>
      <c r="D22" s="2">
        <v>10</v>
      </c>
      <c r="E22" s="2">
        <v>10</v>
      </c>
      <c r="F22" s="2">
        <v>11</v>
      </c>
      <c r="G22" s="2">
        <v>10</v>
      </c>
      <c r="H22" s="2">
        <v>11</v>
      </c>
      <c r="I22" s="2">
        <v>11</v>
      </c>
      <c r="J22" s="2">
        <v>13</v>
      </c>
      <c r="K22" s="2">
        <v>15</v>
      </c>
      <c r="L22" s="2">
        <v>12</v>
      </c>
      <c r="M22" s="2">
        <v>15</v>
      </c>
      <c r="N22" s="2">
        <v>8</v>
      </c>
      <c r="O22" s="2">
        <v>11</v>
      </c>
      <c r="Q22">
        <f t="shared" si="6"/>
        <v>10</v>
      </c>
      <c r="R22">
        <f t="shared" si="7"/>
        <v>10.5</v>
      </c>
      <c r="S22">
        <f t="shared" si="8"/>
        <v>11</v>
      </c>
      <c r="T22">
        <f t="shared" si="9"/>
        <v>14</v>
      </c>
      <c r="U22">
        <f t="shared" si="10"/>
        <v>13.5</v>
      </c>
      <c r="V22">
        <f t="shared" si="11"/>
        <v>9.5</v>
      </c>
      <c r="BJ22" s="6" t="s">
        <v>6</v>
      </c>
      <c r="BK22" s="8">
        <f>BM25</f>
        <v>5.1543000000000001</v>
      </c>
      <c r="BL22" s="8">
        <f>BM26</f>
        <v>5.0792000000000002</v>
      </c>
      <c r="BM22" s="8">
        <f>BM27</f>
        <v>5.1071999999999997</v>
      </c>
      <c r="BN22" s="8">
        <f>BM28</f>
        <v>4.9154999999999998</v>
      </c>
      <c r="BO22" s="9">
        <f>BM29</f>
        <v>5.0110000000000001</v>
      </c>
      <c r="BP22" s="8">
        <f>BM30</f>
        <v>5.2110000000000003</v>
      </c>
      <c r="BR22" s="15">
        <f>SUM(BK22:BP22)/6</f>
        <v>5.0796999999999999</v>
      </c>
      <c r="BS22" s="15">
        <f>_xlfn.STDEV.P(BK22:BP22)/SQRT(6)</f>
        <v>3.9172935668505784E-2</v>
      </c>
    </row>
    <row r="23" spans="1:71" ht="14.4" x14ac:dyDescent="0.3">
      <c r="A23" s="3">
        <v>6</v>
      </c>
      <c r="B23" s="12">
        <v>0.86111111111111116</v>
      </c>
      <c r="C23" s="3">
        <f>(144+4.66)/24</f>
        <v>6.1941666666666668</v>
      </c>
      <c r="D23" s="23">
        <v>17</v>
      </c>
      <c r="E23" s="23">
        <v>17</v>
      </c>
      <c r="F23" s="23">
        <v>16</v>
      </c>
      <c r="G23" s="23">
        <v>19</v>
      </c>
      <c r="H23" s="23">
        <v>19</v>
      </c>
      <c r="I23" s="23">
        <v>20</v>
      </c>
      <c r="J23" s="23">
        <v>16</v>
      </c>
      <c r="K23" s="23">
        <v>21</v>
      </c>
      <c r="L23" s="23">
        <v>17</v>
      </c>
      <c r="M23" s="23">
        <v>23</v>
      </c>
      <c r="N23" s="23">
        <v>15</v>
      </c>
      <c r="O23" s="23">
        <v>19</v>
      </c>
      <c r="Q23">
        <f t="shared" si="6"/>
        <v>17</v>
      </c>
      <c r="R23">
        <f t="shared" si="7"/>
        <v>17.5</v>
      </c>
      <c r="S23">
        <f t="shared" si="8"/>
        <v>19.5</v>
      </c>
      <c r="T23">
        <f t="shared" si="9"/>
        <v>18.5</v>
      </c>
      <c r="U23">
        <f>SUM(L23:M23)/2</f>
        <v>20</v>
      </c>
      <c r="V23">
        <f t="shared" si="11"/>
        <v>17</v>
      </c>
      <c r="BJ23" s="6" t="s">
        <v>7</v>
      </c>
      <c r="BK23" s="8">
        <f xml:space="preserve"> (7.5+BO25)/BK22</f>
        <v>4.3123217507712006</v>
      </c>
      <c r="BL23" s="8">
        <f xml:space="preserve"> (8.5+BO26)/BL22</f>
        <v>4.3760828476925502</v>
      </c>
      <c r="BM23" s="8">
        <f xml:space="preserve"> (10.5+BO27)/BM22</f>
        <v>4.4893483709273188</v>
      </c>
      <c r="BN23" s="8">
        <f xml:space="preserve"> (7.5+BO28)/BN22</f>
        <v>3.803275353473706</v>
      </c>
      <c r="BO23" s="8">
        <f xml:space="preserve"> (10.5+BO29)/BO22</f>
        <v>4.3021353023348627</v>
      </c>
      <c r="BP23" s="8">
        <f xml:space="preserve"> (8+BO30)/BP22</f>
        <v>4.2721166762617537</v>
      </c>
      <c r="BR23" s="15">
        <f>SUM(BK23:BP23)/6</f>
        <v>4.259213383576899</v>
      </c>
      <c r="BS23" s="15">
        <f>_xlfn.STDEV.P(BK23:BP23)/SQRT(6)</f>
        <v>8.8086030560699649E-2</v>
      </c>
    </row>
    <row r="24" spans="1:71" ht="14.4" x14ac:dyDescent="0.3">
      <c r="A24" s="3">
        <v>8</v>
      </c>
      <c r="B24" s="12">
        <v>0.72222222222222221</v>
      </c>
      <c r="C24" s="3">
        <f>(192+1)/24</f>
        <v>8.0416666666666661</v>
      </c>
      <c r="D24" s="2">
        <v>25</v>
      </c>
      <c r="E24" s="2">
        <v>25</v>
      </c>
      <c r="F24" s="2">
        <v>25</v>
      </c>
      <c r="G24" s="2">
        <v>26</v>
      </c>
      <c r="H24" s="2">
        <v>27</v>
      </c>
      <c r="I24" s="2">
        <v>27</v>
      </c>
      <c r="J24" s="2">
        <v>25</v>
      </c>
      <c r="K24" s="2">
        <v>27</v>
      </c>
      <c r="L24" s="2">
        <v>26</v>
      </c>
      <c r="M24" s="2">
        <v>27</v>
      </c>
      <c r="N24" s="2">
        <v>25</v>
      </c>
      <c r="O24" s="2">
        <v>28</v>
      </c>
      <c r="Q24">
        <f t="shared" si="6"/>
        <v>25</v>
      </c>
      <c r="R24">
        <f t="shared" si="7"/>
        <v>25.5</v>
      </c>
      <c r="S24">
        <f t="shared" si="8"/>
        <v>27</v>
      </c>
      <c r="T24">
        <f t="shared" si="9"/>
        <v>26</v>
      </c>
      <c r="U24">
        <f>SUM(L24:M24)/2</f>
        <v>26.5</v>
      </c>
      <c r="V24">
        <f t="shared" si="11"/>
        <v>26.5</v>
      </c>
    </row>
    <row r="25" spans="1:71" ht="14.4" x14ac:dyDescent="0.3">
      <c r="A25" s="3">
        <v>10</v>
      </c>
      <c r="B25" s="12">
        <v>0.72222222222222221</v>
      </c>
      <c r="C25" s="3">
        <f>(240+1)/24</f>
        <v>10.041666666666666</v>
      </c>
      <c r="D25" s="23">
        <v>36</v>
      </c>
      <c r="E25" s="23">
        <v>34</v>
      </c>
      <c r="F25" s="23">
        <v>35</v>
      </c>
      <c r="G25" s="23">
        <v>37</v>
      </c>
      <c r="H25" s="23">
        <v>36</v>
      </c>
      <c r="I25" s="23">
        <v>38</v>
      </c>
      <c r="J25" s="23">
        <v>39</v>
      </c>
      <c r="K25" s="23">
        <v>36</v>
      </c>
      <c r="L25" s="23">
        <v>36</v>
      </c>
      <c r="M25" s="23">
        <v>38</v>
      </c>
      <c r="N25" s="23">
        <v>36</v>
      </c>
      <c r="O25" s="23">
        <v>38</v>
      </c>
      <c r="Q25">
        <f t="shared" si="6"/>
        <v>35</v>
      </c>
      <c r="R25">
        <f t="shared" si="7"/>
        <v>36</v>
      </c>
      <c r="S25">
        <f t="shared" si="8"/>
        <v>37</v>
      </c>
      <c r="T25">
        <f t="shared" si="9"/>
        <v>37.5</v>
      </c>
      <c r="U25">
        <f t="shared" si="10"/>
        <v>37</v>
      </c>
      <c r="V25">
        <f t="shared" si="11"/>
        <v>37</v>
      </c>
      <c r="BJ25" t="s">
        <v>15</v>
      </c>
      <c r="BK25" t="s">
        <v>16</v>
      </c>
      <c r="BL25" t="s">
        <v>17</v>
      </c>
      <c r="BM25">
        <v>5.1543000000000001</v>
      </c>
      <c r="BN25" t="s">
        <v>18</v>
      </c>
      <c r="BO25">
        <v>14.727</v>
      </c>
    </row>
    <row r="26" spans="1:71" ht="14.4" x14ac:dyDescent="0.3">
      <c r="A26" s="3">
        <v>13</v>
      </c>
      <c r="B26" s="12">
        <v>0.53125</v>
      </c>
      <c r="C26" s="3">
        <f>(312-3.75)/24</f>
        <v>12.84375</v>
      </c>
      <c r="D26" s="2">
        <v>51</v>
      </c>
      <c r="E26" s="2">
        <v>50</v>
      </c>
      <c r="F26" s="2">
        <v>49</v>
      </c>
      <c r="G26" s="2">
        <v>51</v>
      </c>
      <c r="H26" s="2">
        <v>51</v>
      </c>
      <c r="I26" s="2">
        <v>54</v>
      </c>
      <c r="J26" s="2">
        <v>45</v>
      </c>
      <c r="K26" s="2">
        <v>50</v>
      </c>
      <c r="L26" s="2">
        <v>51</v>
      </c>
      <c r="M26" s="2">
        <v>53</v>
      </c>
      <c r="N26" s="2">
        <v>52</v>
      </c>
      <c r="O26" s="2">
        <v>54</v>
      </c>
      <c r="Q26">
        <f t="shared" si="6"/>
        <v>50.5</v>
      </c>
      <c r="R26">
        <f t="shared" si="7"/>
        <v>50</v>
      </c>
      <c r="S26">
        <f t="shared" si="8"/>
        <v>52.5</v>
      </c>
      <c r="T26">
        <f t="shared" si="9"/>
        <v>47.5</v>
      </c>
      <c r="U26">
        <f t="shared" si="10"/>
        <v>52</v>
      </c>
      <c r="V26">
        <f>SUM(N26:O26)/2</f>
        <v>53</v>
      </c>
      <c r="BJ26" t="s">
        <v>15</v>
      </c>
      <c r="BK26" t="s">
        <v>16</v>
      </c>
      <c r="BL26" t="s">
        <v>17</v>
      </c>
      <c r="BM26">
        <v>5.0792000000000002</v>
      </c>
      <c r="BN26" t="s">
        <v>18</v>
      </c>
      <c r="BO26">
        <v>13.727</v>
      </c>
    </row>
    <row r="27" spans="1:71" ht="14.4" x14ac:dyDescent="0.3">
      <c r="A27" s="3">
        <v>15</v>
      </c>
      <c r="B27" s="12">
        <v>0.72916666666666663</v>
      </c>
      <c r="C27" s="3">
        <f>((24*A27)+0.75)/24</f>
        <v>15.03125</v>
      </c>
      <c r="D27" s="23">
        <v>62</v>
      </c>
      <c r="E27" s="23">
        <v>62</v>
      </c>
      <c r="F27" s="23">
        <v>61</v>
      </c>
      <c r="G27" s="23">
        <v>63</v>
      </c>
      <c r="H27" s="23">
        <v>64</v>
      </c>
      <c r="I27" s="23">
        <v>65</v>
      </c>
      <c r="J27" s="23">
        <v>65</v>
      </c>
      <c r="K27" s="23">
        <v>60</v>
      </c>
      <c r="L27" s="23">
        <v>67</v>
      </c>
      <c r="M27" s="23">
        <v>62</v>
      </c>
      <c r="N27" s="23">
        <v>65</v>
      </c>
      <c r="O27" s="23">
        <v>64</v>
      </c>
      <c r="Q27">
        <f t="shared" si="6"/>
        <v>62</v>
      </c>
      <c r="R27">
        <f t="shared" si="7"/>
        <v>62</v>
      </c>
      <c r="S27">
        <f t="shared" si="8"/>
        <v>64.5</v>
      </c>
      <c r="T27">
        <f t="shared" si="9"/>
        <v>62.5</v>
      </c>
      <c r="U27">
        <f t="shared" si="10"/>
        <v>64.5</v>
      </c>
      <c r="V27">
        <f>SUM(N27:O27)/2</f>
        <v>64.5</v>
      </c>
      <c r="BJ27" t="s">
        <v>15</v>
      </c>
      <c r="BK27" t="s">
        <v>16</v>
      </c>
      <c r="BL27" t="s">
        <v>17</v>
      </c>
      <c r="BM27">
        <v>5.1071999999999997</v>
      </c>
      <c r="BN27" t="s">
        <v>18</v>
      </c>
      <c r="BO27">
        <v>12.428000000000001</v>
      </c>
    </row>
    <row r="28" spans="1:71" ht="14.4" x14ac:dyDescent="0.3">
      <c r="A28" s="3">
        <v>17</v>
      </c>
      <c r="B28" s="12">
        <v>0.71875</v>
      </c>
      <c r="C28" s="3">
        <f>((24*A28)+0.75)/24</f>
        <v>17.03125</v>
      </c>
      <c r="D28" s="2">
        <v>74</v>
      </c>
      <c r="E28" s="2">
        <v>72</v>
      </c>
      <c r="F28" s="2">
        <v>72</v>
      </c>
      <c r="G28" s="2">
        <v>72</v>
      </c>
      <c r="H28" s="2">
        <v>75</v>
      </c>
      <c r="I28" s="2">
        <v>75</v>
      </c>
      <c r="J28" s="2">
        <v>75</v>
      </c>
      <c r="K28" s="2">
        <v>70</v>
      </c>
      <c r="L28" s="2">
        <v>77</v>
      </c>
      <c r="M28" s="2">
        <v>73</v>
      </c>
      <c r="N28" s="2">
        <v>73</v>
      </c>
      <c r="O28" s="2">
        <v>75</v>
      </c>
      <c r="Q28">
        <f t="shared" si="6"/>
        <v>73</v>
      </c>
      <c r="R28">
        <f t="shared" si="7"/>
        <v>72</v>
      </c>
      <c r="S28">
        <f t="shared" si="8"/>
        <v>75</v>
      </c>
      <c r="T28">
        <f t="shared" si="9"/>
        <v>72.5</v>
      </c>
      <c r="U28">
        <f t="shared" si="10"/>
        <v>75</v>
      </c>
      <c r="V28">
        <f>SUM(N28:O28)/2</f>
        <v>74</v>
      </c>
      <c r="BJ28" t="s">
        <v>15</v>
      </c>
      <c r="BK28" t="s">
        <v>16</v>
      </c>
      <c r="BL28" t="s">
        <v>17</v>
      </c>
      <c r="BM28">
        <v>4.9154999999999998</v>
      </c>
      <c r="BN28" t="s">
        <v>18</v>
      </c>
      <c r="BO28">
        <v>11.195</v>
      </c>
    </row>
    <row r="29" spans="1:71" ht="14.4" x14ac:dyDescent="0.3">
      <c r="A29" s="3">
        <v>20</v>
      </c>
      <c r="B29" s="3">
        <v>13.33</v>
      </c>
      <c r="C29" s="3">
        <f>((24*A29)+(B29-16.5))/24</f>
        <v>19.867916666666666</v>
      </c>
      <c r="D29" s="2">
        <v>90</v>
      </c>
      <c r="E29" s="2">
        <v>90</v>
      </c>
      <c r="F29" s="2">
        <v>90</v>
      </c>
      <c r="G29" s="2">
        <v>90</v>
      </c>
      <c r="H29" s="2">
        <v>90</v>
      </c>
      <c r="I29" s="2">
        <v>90</v>
      </c>
      <c r="J29" s="2">
        <v>90</v>
      </c>
      <c r="K29" s="2">
        <v>90</v>
      </c>
      <c r="L29" s="2">
        <v>90</v>
      </c>
      <c r="M29" s="2">
        <v>90</v>
      </c>
      <c r="N29" s="2">
        <v>90</v>
      </c>
      <c r="O29" s="2">
        <v>90</v>
      </c>
      <c r="Q29">
        <f t="shared" si="6"/>
        <v>90</v>
      </c>
      <c r="R29">
        <f t="shared" ref="R29" si="12">SUM(E29:F29)/2</f>
        <v>90</v>
      </c>
      <c r="S29">
        <f t="shared" ref="S29" si="13">SUM(F29:G29)/2</f>
        <v>90</v>
      </c>
      <c r="T29">
        <f t="shared" ref="T29" si="14">SUM(G29:H29)/2</f>
        <v>90</v>
      </c>
      <c r="U29">
        <f t="shared" ref="U29" si="15">SUM(H29:I29)/2</f>
        <v>90</v>
      </c>
      <c r="V29">
        <f t="shared" ref="V29" si="16">SUM(I29:J29)/2</f>
        <v>90</v>
      </c>
      <c r="BJ29" t="s">
        <v>15</v>
      </c>
      <c r="BK29" t="s">
        <v>16</v>
      </c>
      <c r="BL29" t="s">
        <v>17</v>
      </c>
      <c r="BM29">
        <v>5.0110000000000001</v>
      </c>
      <c r="BN29" t="s">
        <v>18</v>
      </c>
      <c r="BO29">
        <v>11.058</v>
      </c>
    </row>
    <row r="30" spans="1:71" ht="14.4" x14ac:dyDescent="0.25">
      <c r="A30" s="3"/>
      <c r="BJ30" t="s">
        <v>15</v>
      </c>
      <c r="BM30">
        <v>5.2110000000000003</v>
      </c>
      <c r="BO30">
        <v>14.262</v>
      </c>
    </row>
  </sheetData>
  <mergeCells count="12">
    <mergeCell ref="N20:O20"/>
    <mergeCell ref="D4:E4"/>
    <mergeCell ref="F4:G4"/>
    <mergeCell ref="H4:I4"/>
    <mergeCell ref="J4:K4"/>
    <mergeCell ref="L4:M4"/>
    <mergeCell ref="N4:O4"/>
    <mergeCell ref="D20:E20"/>
    <mergeCell ref="F20:G20"/>
    <mergeCell ref="H20:I20"/>
    <mergeCell ref="J20:K20"/>
    <mergeCell ref="L20:M20"/>
  </mergeCells>
  <pageMargins left="0.7" right="0.7" top="0.75" bottom="0.75" header="0.3" footer="0.3"/>
  <pageSetup paperSize="2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30"/>
  <sheetViews>
    <sheetView topLeftCell="AV1" zoomScale="80" zoomScaleNormal="80" workbookViewId="0">
      <selection activeCell="BK24" sqref="BK24"/>
    </sheetView>
  </sheetViews>
  <sheetFormatPr defaultRowHeight="13.8" x14ac:dyDescent="0.25"/>
  <cols>
    <col min="3" max="3" width="10.69921875" bestFit="1" customWidth="1"/>
    <col min="62" max="62" width="25.8984375" bestFit="1" customWidth="1"/>
  </cols>
  <sheetData>
    <row r="1" spans="1:71" ht="21" x14ac:dyDescent="0.4">
      <c r="C1" s="11">
        <v>0.97</v>
      </c>
      <c r="D1" s="2"/>
      <c r="E1" s="2"/>
      <c r="F1" s="2"/>
      <c r="G1" s="2"/>
      <c r="H1" s="2"/>
      <c r="I1" s="2"/>
    </row>
    <row r="3" spans="1:71" ht="15" thickBot="1" x14ac:dyDescent="0.35">
      <c r="C3" s="2">
        <v>15</v>
      </c>
      <c r="D3" s="2"/>
      <c r="E3" s="2"/>
      <c r="F3" s="2"/>
      <c r="G3" s="2"/>
      <c r="H3" s="2"/>
      <c r="I3" s="2"/>
    </row>
    <row r="4" spans="1:71" ht="15" thickBot="1" x14ac:dyDescent="0.35">
      <c r="B4" s="12">
        <v>0.54166666666666663</v>
      </c>
      <c r="C4" s="3" t="s">
        <v>0</v>
      </c>
      <c r="D4" s="35">
        <v>1</v>
      </c>
      <c r="E4" s="34"/>
      <c r="F4" s="35">
        <v>2</v>
      </c>
      <c r="G4" s="34"/>
      <c r="H4" s="35">
        <v>3</v>
      </c>
      <c r="I4" s="34"/>
      <c r="J4" s="35">
        <v>4</v>
      </c>
      <c r="K4" s="34"/>
      <c r="L4" s="35">
        <v>5</v>
      </c>
      <c r="M4" s="34"/>
      <c r="N4" s="33">
        <v>6</v>
      </c>
      <c r="O4" s="34"/>
      <c r="Q4" s="4">
        <v>1</v>
      </c>
      <c r="R4" s="4">
        <v>2</v>
      </c>
      <c r="S4" s="4">
        <v>3</v>
      </c>
      <c r="T4" s="4">
        <v>4</v>
      </c>
      <c r="U4" s="4">
        <v>5</v>
      </c>
      <c r="V4" s="4">
        <v>6</v>
      </c>
      <c r="BR4" s="17">
        <v>0.97</v>
      </c>
    </row>
    <row r="5" spans="1:71" ht="14.4" x14ac:dyDescent="0.3">
      <c r="A5" s="3">
        <v>2</v>
      </c>
      <c r="B5" s="12">
        <v>0.78125</v>
      </c>
      <c r="C5" s="3">
        <f>(48+5.75)/24</f>
        <v>2.2395833333333335</v>
      </c>
      <c r="D5" s="2">
        <v>10</v>
      </c>
      <c r="E5" s="2">
        <v>10</v>
      </c>
      <c r="F5" s="2">
        <v>10</v>
      </c>
      <c r="G5" s="2">
        <v>10</v>
      </c>
      <c r="H5" s="2">
        <v>10</v>
      </c>
      <c r="I5" s="2">
        <v>10</v>
      </c>
      <c r="J5" s="2">
        <v>11</v>
      </c>
      <c r="K5" s="2">
        <v>10</v>
      </c>
      <c r="L5" s="2">
        <v>10</v>
      </c>
      <c r="M5" s="2">
        <v>10</v>
      </c>
      <c r="N5" s="2">
        <v>11</v>
      </c>
      <c r="O5" s="2">
        <v>12</v>
      </c>
      <c r="Q5">
        <f>SUM(D5:E5)/2</f>
        <v>10</v>
      </c>
      <c r="R5">
        <f t="shared" ref="R5:R13" si="0">SUM(F5:G5)/2</f>
        <v>10</v>
      </c>
      <c r="S5">
        <f t="shared" ref="S5:S13" si="1">SUM(H5:I5)/2</f>
        <v>10</v>
      </c>
      <c r="T5">
        <f t="shared" ref="T5:T13" si="2">SUM(J5:K5)/2</f>
        <v>10.5</v>
      </c>
      <c r="U5">
        <f t="shared" ref="U5:U13" si="3">SUM(L5:M5)/2</f>
        <v>10</v>
      </c>
      <c r="V5">
        <f t="shared" ref="V5:V13" si="4">SUM(N5:O5)/2</f>
        <v>11.5</v>
      </c>
    </row>
    <row r="6" spans="1:71" ht="14.4" x14ac:dyDescent="0.3">
      <c r="A6" s="3">
        <v>4</v>
      </c>
      <c r="B6" s="12">
        <v>0.8041666666666667</v>
      </c>
      <c r="C6" s="3">
        <f>(96+6.3)/24</f>
        <v>4.2625000000000002</v>
      </c>
      <c r="D6" s="2">
        <v>13</v>
      </c>
      <c r="E6" s="2">
        <v>15</v>
      </c>
      <c r="F6" s="2">
        <v>10</v>
      </c>
      <c r="G6" s="2">
        <v>11</v>
      </c>
      <c r="H6" s="2">
        <v>11</v>
      </c>
      <c r="I6" s="2">
        <v>11</v>
      </c>
      <c r="J6" s="2">
        <v>15</v>
      </c>
      <c r="K6" s="2">
        <v>16</v>
      </c>
      <c r="L6" s="2">
        <v>15</v>
      </c>
      <c r="M6" s="2">
        <v>16</v>
      </c>
      <c r="N6" s="2">
        <v>16</v>
      </c>
      <c r="O6" s="2">
        <v>21</v>
      </c>
      <c r="Q6">
        <f t="shared" ref="Q6:Q13" si="5">SUM(D6:E6)/2</f>
        <v>14</v>
      </c>
      <c r="R6">
        <f t="shared" si="0"/>
        <v>10.5</v>
      </c>
      <c r="S6">
        <f t="shared" si="1"/>
        <v>11</v>
      </c>
      <c r="T6">
        <f t="shared" si="2"/>
        <v>15.5</v>
      </c>
      <c r="U6">
        <f t="shared" si="3"/>
        <v>15.5</v>
      </c>
      <c r="V6">
        <f t="shared" si="4"/>
        <v>18.5</v>
      </c>
      <c r="BJ6" s="5" t="s">
        <v>3</v>
      </c>
      <c r="BK6" s="6">
        <v>1</v>
      </c>
      <c r="BL6" s="6">
        <v>2</v>
      </c>
      <c r="BM6" s="6">
        <v>3</v>
      </c>
      <c r="BN6" s="6">
        <v>4</v>
      </c>
      <c r="BO6" s="6">
        <v>5</v>
      </c>
      <c r="BP6" s="6">
        <v>6</v>
      </c>
      <c r="BR6" s="13" t="s">
        <v>4</v>
      </c>
      <c r="BS6" s="14" t="s">
        <v>5</v>
      </c>
    </row>
    <row r="7" spans="1:71" ht="14.4" x14ac:dyDescent="0.3">
      <c r="A7" s="3">
        <v>5</v>
      </c>
      <c r="B7" s="3" t="s">
        <v>13</v>
      </c>
      <c r="C7" s="3">
        <f>(120+7)/24</f>
        <v>5.291666666666667</v>
      </c>
      <c r="D7" s="2">
        <v>18</v>
      </c>
      <c r="E7" s="2">
        <v>19</v>
      </c>
      <c r="F7" s="2">
        <v>15</v>
      </c>
      <c r="G7" s="2">
        <v>16</v>
      </c>
      <c r="H7" s="2">
        <v>16</v>
      </c>
      <c r="I7" s="2">
        <v>17</v>
      </c>
      <c r="J7" s="2">
        <v>21</v>
      </c>
      <c r="K7" s="2">
        <v>21</v>
      </c>
      <c r="L7" s="2">
        <v>21</v>
      </c>
      <c r="M7" s="2">
        <v>27</v>
      </c>
      <c r="N7" s="2">
        <v>24</v>
      </c>
      <c r="O7" s="2">
        <v>25</v>
      </c>
      <c r="Q7">
        <f t="shared" si="5"/>
        <v>18.5</v>
      </c>
      <c r="R7">
        <f t="shared" si="0"/>
        <v>15.5</v>
      </c>
      <c r="S7">
        <f t="shared" si="1"/>
        <v>16.5</v>
      </c>
      <c r="T7">
        <f t="shared" si="2"/>
        <v>21</v>
      </c>
      <c r="U7">
        <f t="shared" si="3"/>
        <v>24</v>
      </c>
      <c r="V7">
        <f t="shared" si="4"/>
        <v>24.5</v>
      </c>
      <c r="BJ7" s="6" t="s">
        <v>6</v>
      </c>
      <c r="BK7" s="8">
        <v>5.8166000000000002</v>
      </c>
      <c r="BL7" s="8">
        <v>5.8552</v>
      </c>
      <c r="BM7" s="8">
        <v>5.8544</v>
      </c>
      <c r="BN7" s="8">
        <v>5.6595000000000004</v>
      </c>
      <c r="BO7" s="9">
        <v>5.6134000000000004</v>
      </c>
      <c r="BP7" s="8">
        <v>5.5682999999999998</v>
      </c>
      <c r="BR7" s="15">
        <f>SUM(BK7:BP7)/6</f>
        <v>5.7279000000000009</v>
      </c>
      <c r="BS7" s="15">
        <f>_xlfn.STDEV.P(BK7:BP7)/SQRT(6)</f>
        <v>4.8113349960737961E-2</v>
      </c>
    </row>
    <row r="8" spans="1:71" ht="14.4" x14ac:dyDescent="0.3">
      <c r="A8" s="3">
        <v>6</v>
      </c>
      <c r="B8" s="12">
        <v>0.85069444444444453</v>
      </c>
      <c r="C8" s="3">
        <f>(144+7.5)/24</f>
        <v>6.3125</v>
      </c>
      <c r="D8" s="2">
        <v>25</v>
      </c>
      <c r="E8" s="2">
        <v>26</v>
      </c>
      <c r="F8" s="2">
        <v>21</v>
      </c>
      <c r="G8" s="2">
        <v>21</v>
      </c>
      <c r="H8" s="2">
        <v>22</v>
      </c>
      <c r="I8" s="2">
        <v>22</v>
      </c>
      <c r="J8" s="2">
        <v>27</v>
      </c>
      <c r="K8" s="2">
        <v>27</v>
      </c>
      <c r="L8" s="2">
        <v>29</v>
      </c>
      <c r="M8" s="2">
        <v>34</v>
      </c>
      <c r="N8" s="2">
        <v>30</v>
      </c>
      <c r="O8" s="2">
        <v>30</v>
      </c>
      <c r="Q8">
        <f t="shared" si="5"/>
        <v>25.5</v>
      </c>
      <c r="R8">
        <f t="shared" si="0"/>
        <v>21</v>
      </c>
      <c r="S8">
        <f t="shared" si="1"/>
        <v>22</v>
      </c>
      <c r="T8">
        <f t="shared" si="2"/>
        <v>27</v>
      </c>
      <c r="U8">
        <f t="shared" si="3"/>
        <v>31.5</v>
      </c>
      <c r="V8">
        <f t="shared" si="4"/>
        <v>30</v>
      </c>
      <c r="BJ8" s="6" t="s">
        <v>7</v>
      </c>
      <c r="BK8" s="8">
        <f xml:space="preserve"> (10+BO10)/BK7</f>
        <v>3.7007874015748028</v>
      </c>
      <c r="BL8" s="8">
        <f xml:space="preserve"> (10+BO11)/BL7</f>
        <v>4.4420344309331874</v>
      </c>
      <c r="BM8" s="8">
        <f xml:space="preserve"> (10+BO12)/BM7</f>
        <v>4.2040174911177921</v>
      </c>
      <c r="BN8" s="8">
        <f xml:space="preserve"> (10.5+BO13)/BN7</f>
        <v>3.4769855994345789</v>
      </c>
      <c r="BO8" s="8">
        <f xml:space="preserve"> (10+BO14)/BO7</f>
        <v>2.733655182242491</v>
      </c>
      <c r="BP8" s="8">
        <f xml:space="preserve"> (11.5+BO15)/BP7</f>
        <v>2.9469676561966849</v>
      </c>
      <c r="BR8" s="15">
        <f>SUM(BK8:BP8)/6</f>
        <v>3.5840746269165895</v>
      </c>
      <c r="BS8" s="15">
        <f>_xlfn.STDEV.P(BK8:BP8)/SQRT(6)</f>
        <v>0.2513647546548719</v>
      </c>
    </row>
    <row r="9" spans="1:71" ht="14.4" x14ac:dyDescent="0.3">
      <c r="A9" s="3">
        <v>7</v>
      </c>
      <c r="B9" s="12">
        <v>0.86805555555555547</v>
      </c>
      <c r="C9" s="3">
        <f>(168+8.8)/24</f>
        <v>7.3666666666666671</v>
      </c>
      <c r="D9" s="2">
        <v>30</v>
      </c>
      <c r="E9" s="2">
        <v>31</v>
      </c>
      <c r="F9" s="2">
        <v>26</v>
      </c>
      <c r="G9" s="2">
        <v>27</v>
      </c>
      <c r="H9" s="2">
        <v>29</v>
      </c>
      <c r="I9" s="2">
        <v>28</v>
      </c>
      <c r="J9" s="2">
        <v>32</v>
      </c>
      <c r="K9" s="2">
        <v>33</v>
      </c>
      <c r="L9" s="2">
        <v>34</v>
      </c>
      <c r="M9" s="2">
        <v>39</v>
      </c>
      <c r="N9" s="2">
        <v>36</v>
      </c>
      <c r="O9" s="2">
        <v>36</v>
      </c>
      <c r="Q9">
        <f t="shared" si="5"/>
        <v>30.5</v>
      </c>
      <c r="R9">
        <f t="shared" si="0"/>
        <v>26.5</v>
      </c>
      <c r="S9">
        <f t="shared" si="1"/>
        <v>28.5</v>
      </c>
      <c r="T9">
        <f t="shared" si="2"/>
        <v>32.5</v>
      </c>
      <c r="U9">
        <f t="shared" si="3"/>
        <v>36.5</v>
      </c>
      <c r="V9">
        <f t="shared" si="4"/>
        <v>36</v>
      </c>
    </row>
    <row r="10" spans="1:71" ht="14.4" x14ac:dyDescent="0.3">
      <c r="A10" s="3">
        <v>8</v>
      </c>
      <c r="B10" s="12">
        <v>0.75</v>
      </c>
      <c r="C10" s="3">
        <f>(192+5)/24</f>
        <v>8.2083333333333339</v>
      </c>
      <c r="D10" s="2">
        <v>36</v>
      </c>
      <c r="E10" s="2">
        <v>38</v>
      </c>
      <c r="F10" s="2">
        <v>32</v>
      </c>
      <c r="G10" s="2">
        <v>32</v>
      </c>
      <c r="H10" s="2">
        <v>33</v>
      </c>
      <c r="I10" s="2">
        <v>35</v>
      </c>
      <c r="J10" s="2">
        <v>36</v>
      </c>
      <c r="K10" s="2">
        <v>38</v>
      </c>
      <c r="L10" s="2">
        <v>39</v>
      </c>
      <c r="M10" s="2">
        <v>46</v>
      </c>
      <c r="N10" s="2">
        <v>41</v>
      </c>
      <c r="O10" s="2">
        <v>41</v>
      </c>
      <c r="Q10">
        <f t="shared" si="5"/>
        <v>37</v>
      </c>
      <c r="R10">
        <f t="shared" si="0"/>
        <v>32</v>
      </c>
      <c r="S10">
        <f t="shared" si="1"/>
        <v>34</v>
      </c>
      <c r="T10">
        <f t="shared" si="2"/>
        <v>37</v>
      </c>
      <c r="U10">
        <f t="shared" si="3"/>
        <v>42.5</v>
      </c>
      <c r="V10">
        <f t="shared" si="4"/>
        <v>41</v>
      </c>
      <c r="BJ10" t="s">
        <v>15</v>
      </c>
      <c r="BK10" t="s">
        <v>16</v>
      </c>
      <c r="BL10" t="s">
        <v>17</v>
      </c>
      <c r="BM10" t="s">
        <v>19</v>
      </c>
      <c r="BN10" t="s">
        <v>18</v>
      </c>
      <c r="BO10">
        <v>11.526</v>
      </c>
    </row>
    <row r="11" spans="1:71" ht="14.4" x14ac:dyDescent="0.3">
      <c r="A11" s="3">
        <v>10</v>
      </c>
      <c r="B11" s="12">
        <v>0.54166666666666663</v>
      </c>
      <c r="C11" s="3">
        <v>10</v>
      </c>
      <c r="D11" s="2">
        <v>46</v>
      </c>
      <c r="E11" s="2">
        <v>48</v>
      </c>
      <c r="F11" s="2">
        <v>41</v>
      </c>
      <c r="G11" s="2">
        <v>42</v>
      </c>
      <c r="H11" s="2">
        <v>44</v>
      </c>
      <c r="I11" s="2">
        <v>45</v>
      </c>
      <c r="J11" s="2">
        <v>46</v>
      </c>
      <c r="K11" s="2">
        <v>47</v>
      </c>
      <c r="L11" s="2">
        <v>49</v>
      </c>
      <c r="M11" s="2">
        <v>55</v>
      </c>
      <c r="N11" s="2">
        <v>51</v>
      </c>
      <c r="O11" s="2">
        <v>52</v>
      </c>
      <c r="Q11">
        <f t="shared" si="5"/>
        <v>47</v>
      </c>
      <c r="R11">
        <f t="shared" si="0"/>
        <v>41.5</v>
      </c>
      <c r="S11">
        <f t="shared" si="1"/>
        <v>44.5</v>
      </c>
      <c r="T11">
        <f t="shared" si="2"/>
        <v>46.5</v>
      </c>
      <c r="U11">
        <f t="shared" si="3"/>
        <v>52</v>
      </c>
      <c r="V11">
        <f t="shared" si="4"/>
        <v>51.5</v>
      </c>
      <c r="BJ11" t="s">
        <v>15</v>
      </c>
      <c r="BK11" t="s">
        <v>16</v>
      </c>
      <c r="BL11" t="s">
        <v>17</v>
      </c>
      <c r="BM11" t="s">
        <v>20</v>
      </c>
      <c r="BN11" t="s">
        <v>18</v>
      </c>
      <c r="BO11">
        <v>16.009</v>
      </c>
    </row>
    <row r="12" spans="1:71" ht="14.4" x14ac:dyDescent="0.3">
      <c r="A12" s="3">
        <v>13</v>
      </c>
      <c r="B12" s="12">
        <v>0.52083333333333337</v>
      </c>
      <c r="C12" s="3">
        <f>(312-0.5)/24</f>
        <v>12.979166666666666</v>
      </c>
      <c r="D12" s="2">
        <v>62</v>
      </c>
      <c r="E12" s="2">
        <v>65</v>
      </c>
      <c r="F12" s="2">
        <v>59</v>
      </c>
      <c r="G12" s="2">
        <v>60</v>
      </c>
      <c r="H12" s="2">
        <v>59</v>
      </c>
      <c r="I12" s="2">
        <v>60</v>
      </c>
      <c r="J12" s="2">
        <v>63</v>
      </c>
      <c r="K12" s="2">
        <v>64</v>
      </c>
      <c r="L12" s="2">
        <v>64</v>
      </c>
      <c r="M12" s="2">
        <v>71</v>
      </c>
      <c r="N12" s="2">
        <v>67</v>
      </c>
      <c r="O12" s="2">
        <v>68</v>
      </c>
      <c r="Q12">
        <f t="shared" si="5"/>
        <v>63.5</v>
      </c>
      <c r="R12">
        <f t="shared" si="0"/>
        <v>59.5</v>
      </c>
      <c r="S12">
        <f t="shared" si="1"/>
        <v>59.5</v>
      </c>
      <c r="T12">
        <f t="shared" si="2"/>
        <v>63.5</v>
      </c>
      <c r="U12">
        <f t="shared" si="3"/>
        <v>67.5</v>
      </c>
      <c r="V12">
        <f t="shared" si="4"/>
        <v>67.5</v>
      </c>
      <c r="BJ12" t="s">
        <v>15</v>
      </c>
      <c r="BK12" t="s">
        <v>16</v>
      </c>
      <c r="BL12" t="s">
        <v>17</v>
      </c>
      <c r="BM12" t="s">
        <v>21</v>
      </c>
      <c r="BN12" t="s">
        <v>18</v>
      </c>
      <c r="BO12">
        <v>14.612</v>
      </c>
    </row>
    <row r="13" spans="1:71" ht="14.4" x14ac:dyDescent="0.3">
      <c r="A13" s="3">
        <v>15</v>
      </c>
      <c r="B13" s="12">
        <v>0.70833333333333337</v>
      </c>
      <c r="C13" s="3">
        <f>((24*A13)+4)/24</f>
        <v>15.166666666666666</v>
      </c>
      <c r="D13" s="2">
        <v>74</v>
      </c>
      <c r="E13" s="2">
        <v>76</v>
      </c>
      <c r="F13" s="2">
        <v>67</v>
      </c>
      <c r="G13" s="2">
        <v>68</v>
      </c>
      <c r="H13" s="2">
        <v>71</v>
      </c>
      <c r="I13" s="2">
        <v>70</v>
      </c>
      <c r="J13" s="2">
        <v>76</v>
      </c>
      <c r="K13" s="2">
        <v>75</v>
      </c>
      <c r="L13" s="2">
        <v>79</v>
      </c>
      <c r="M13" s="2">
        <v>80</v>
      </c>
      <c r="N13" s="2">
        <v>78</v>
      </c>
      <c r="O13" s="2">
        <v>82</v>
      </c>
      <c r="Q13">
        <f t="shared" si="5"/>
        <v>75</v>
      </c>
      <c r="R13">
        <f t="shared" si="0"/>
        <v>67.5</v>
      </c>
      <c r="S13">
        <f t="shared" si="1"/>
        <v>70.5</v>
      </c>
      <c r="T13">
        <f t="shared" si="2"/>
        <v>75.5</v>
      </c>
      <c r="U13">
        <f t="shared" si="3"/>
        <v>79.5</v>
      </c>
      <c r="V13">
        <f t="shared" si="4"/>
        <v>80</v>
      </c>
      <c r="BJ13" t="s">
        <v>15</v>
      </c>
      <c r="BK13" t="s">
        <v>16</v>
      </c>
      <c r="BL13" t="s">
        <v>17</v>
      </c>
      <c r="BM13" t="s">
        <v>22</v>
      </c>
      <c r="BN13" t="s">
        <v>18</v>
      </c>
      <c r="BO13">
        <v>9.1780000000000008</v>
      </c>
    </row>
    <row r="14" spans="1:71" ht="14.4" x14ac:dyDescent="0.3">
      <c r="A14" s="3">
        <v>17</v>
      </c>
      <c r="B14" s="3">
        <v>17.5</v>
      </c>
      <c r="C14" s="3">
        <f>((24*A14)+4.5)/24</f>
        <v>17.1875</v>
      </c>
      <c r="D14" s="2">
        <v>90</v>
      </c>
      <c r="E14" s="2">
        <v>90</v>
      </c>
      <c r="F14" s="2">
        <v>90</v>
      </c>
      <c r="G14" s="2">
        <v>90</v>
      </c>
      <c r="H14" s="2">
        <v>90</v>
      </c>
      <c r="I14" s="2">
        <v>90</v>
      </c>
      <c r="J14" s="2">
        <v>90</v>
      </c>
      <c r="K14" s="2">
        <v>90</v>
      </c>
      <c r="L14" s="2">
        <v>90</v>
      </c>
      <c r="M14" s="2">
        <v>90</v>
      </c>
      <c r="N14" s="2">
        <v>90</v>
      </c>
      <c r="O14" s="2">
        <v>90</v>
      </c>
      <c r="Q14" s="2">
        <v>90</v>
      </c>
      <c r="R14" s="2">
        <v>90</v>
      </c>
      <c r="S14" s="2">
        <v>90</v>
      </c>
      <c r="T14" s="2">
        <v>90</v>
      </c>
      <c r="U14" s="2">
        <v>90</v>
      </c>
      <c r="V14" s="2">
        <v>90</v>
      </c>
      <c r="BJ14" t="s">
        <v>15</v>
      </c>
      <c r="BK14" t="s">
        <v>16</v>
      </c>
      <c r="BL14" t="s">
        <v>17</v>
      </c>
      <c r="BM14" t="s">
        <v>23</v>
      </c>
      <c r="BN14" t="s">
        <v>18</v>
      </c>
      <c r="BO14">
        <v>5.3451000000000004</v>
      </c>
    </row>
    <row r="15" spans="1:71" x14ac:dyDescent="0.25">
      <c r="BJ15" t="s">
        <v>15</v>
      </c>
      <c r="BK15" t="s">
        <v>16</v>
      </c>
      <c r="BL15" t="s">
        <v>17</v>
      </c>
      <c r="BM15" t="s">
        <v>24</v>
      </c>
      <c r="BN15" t="s">
        <v>18</v>
      </c>
      <c r="BO15">
        <v>4.9096000000000002</v>
      </c>
    </row>
    <row r="18" spans="1:71" ht="21" x14ac:dyDescent="0.4">
      <c r="C18" s="11">
        <v>0.99</v>
      </c>
    </row>
    <row r="19" spans="1:71" ht="14.4" thickBot="1" x14ac:dyDescent="0.3">
      <c r="BR19" s="17">
        <v>0.99</v>
      </c>
    </row>
    <row r="20" spans="1:71" ht="15" thickBot="1" x14ac:dyDescent="0.35">
      <c r="B20" s="12">
        <v>0.54166666666666663</v>
      </c>
      <c r="C20" s="3" t="s">
        <v>0</v>
      </c>
      <c r="D20" s="35">
        <v>1</v>
      </c>
      <c r="E20" s="34"/>
      <c r="F20" s="35">
        <v>2</v>
      </c>
      <c r="G20" s="34"/>
      <c r="H20" s="35">
        <v>3</v>
      </c>
      <c r="I20" s="34"/>
      <c r="J20" s="35">
        <v>4</v>
      </c>
      <c r="K20" s="34"/>
      <c r="L20" s="35">
        <v>5</v>
      </c>
      <c r="M20" s="34"/>
      <c r="N20" s="33">
        <v>6</v>
      </c>
      <c r="O20" s="34"/>
      <c r="Q20" s="4">
        <v>1</v>
      </c>
      <c r="R20" s="4">
        <v>2</v>
      </c>
      <c r="S20" s="4">
        <v>3</v>
      </c>
      <c r="T20" s="4">
        <v>4</v>
      </c>
      <c r="U20" s="4">
        <v>5</v>
      </c>
      <c r="V20" s="4">
        <v>6</v>
      </c>
    </row>
    <row r="21" spans="1:71" ht="14.4" x14ac:dyDescent="0.3">
      <c r="A21" s="3">
        <v>2</v>
      </c>
      <c r="B21" s="12">
        <v>0.78125</v>
      </c>
      <c r="C21" s="3">
        <f t="shared" ref="C21" si="6">(48+5.75)/24</f>
        <v>2.2395833333333335</v>
      </c>
      <c r="D21" s="2">
        <v>13</v>
      </c>
      <c r="E21" s="2">
        <v>13</v>
      </c>
      <c r="F21" s="2">
        <v>15</v>
      </c>
      <c r="G21" s="2">
        <v>14</v>
      </c>
      <c r="H21" s="2">
        <v>15</v>
      </c>
      <c r="I21" s="2">
        <v>15</v>
      </c>
      <c r="J21" s="2">
        <v>16</v>
      </c>
      <c r="K21" s="2">
        <v>14</v>
      </c>
      <c r="L21" s="2">
        <v>18</v>
      </c>
      <c r="M21" s="2">
        <v>14</v>
      </c>
      <c r="N21" s="2">
        <v>15</v>
      </c>
      <c r="O21" s="2">
        <v>15</v>
      </c>
      <c r="Q21">
        <f t="shared" ref="Q21:Q27" si="7">SUM(D21:E21)/2</f>
        <v>13</v>
      </c>
      <c r="R21">
        <f t="shared" ref="R21:R27" si="8">SUM(F21:G21)/2</f>
        <v>14.5</v>
      </c>
      <c r="S21">
        <f t="shared" ref="S21:S27" si="9">SUM(H21:I21)/2</f>
        <v>15</v>
      </c>
      <c r="T21">
        <f t="shared" ref="T21:T27" si="10">SUM(J21:K21)/2</f>
        <v>15</v>
      </c>
      <c r="U21">
        <f t="shared" ref="U21:U27" si="11">SUM(L21:M21)/2</f>
        <v>16</v>
      </c>
      <c r="V21">
        <f t="shared" ref="V21:V27" si="12">SUM(N21:O21)/2</f>
        <v>15</v>
      </c>
      <c r="BJ21" s="5" t="s">
        <v>3</v>
      </c>
      <c r="BK21" s="6">
        <v>1</v>
      </c>
      <c r="BL21" s="6">
        <v>2</v>
      </c>
      <c r="BM21" s="6">
        <v>3</v>
      </c>
      <c r="BN21" s="6">
        <v>4</v>
      </c>
      <c r="BO21" s="6">
        <v>5</v>
      </c>
      <c r="BP21" s="6">
        <v>6</v>
      </c>
      <c r="BR21" s="13" t="s">
        <v>4</v>
      </c>
      <c r="BS21" s="14" t="s">
        <v>5</v>
      </c>
    </row>
    <row r="22" spans="1:71" ht="14.4" x14ac:dyDescent="0.3">
      <c r="A22" s="3">
        <v>4</v>
      </c>
      <c r="B22" s="12">
        <v>0.8041666666666667</v>
      </c>
      <c r="C22" s="3">
        <f>(96+6.3)/24</f>
        <v>4.2625000000000002</v>
      </c>
      <c r="D22" s="2">
        <v>33</v>
      </c>
      <c r="E22" s="2">
        <v>34</v>
      </c>
      <c r="F22" s="2">
        <v>31</v>
      </c>
      <c r="G22" s="2">
        <v>31</v>
      </c>
      <c r="H22" s="2">
        <v>30</v>
      </c>
      <c r="I22" s="2">
        <v>31</v>
      </c>
      <c r="J22" s="2">
        <v>32</v>
      </c>
      <c r="K22" s="2">
        <v>31</v>
      </c>
      <c r="L22" s="2">
        <v>35</v>
      </c>
      <c r="M22" s="2">
        <v>32</v>
      </c>
      <c r="N22" s="2">
        <v>32</v>
      </c>
      <c r="O22" s="2">
        <v>31</v>
      </c>
      <c r="Q22">
        <f t="shared" si="7"/>
        <v>33.5</v>
      </c>
      <c r="R22">
        <f t="shared" si="8"/>
        <v>31</v>
      </c>
      <c r="S22">
        <f t="shared" si="9"/>
        <v>30.5</v>
      </c>
      <c r="T22">
        <f t="shared" si="10"/>
        <v>31.5</v>
      </c>
      <c r="U22">
        <f t="shared" si="11"/>
        <v>33.5</v>
      </c>
      <c r="V22">
        <f t="shared" si="12"/>
        <v>31.5</v>
      </c>
      <c r="BJ22" s="6" t="s">
        <v>6</v>
      </c>
      <c r="BK22" s="8">
        <f>BM25</f>
        <v>9.3497000000000003</v>
      </c>
      <c r="BL22" s="8">
        <f>BM26</f>
        <v>9.0638000000000005</v>
      </c>
      <c r="BM22" s="8">
        <f>BM27</f>
        <v>9.3084000000000007</v>
      </c>
      <c r="BN22" s="8">
        <f>BM28</f>
        <v>9.2350999999999992</v>
      </c>
      <c r="BO22" s="9">
        <f>BM29</f>
        <v>9.1963000000000008</v>
      </c>
      <c r="BP22" s="8">
        <f>BM30</f>
        <v>9.1137999999999995</v>
      </c>
      <c r="BR22" s="15">
        <f>SUM(BK22:BP22)/6</f>
        <v>9.2111833333333326</v>
      </c>
      <c r="BS22" s="15">
        <f>_xlfn.STDEV.P(BK22:BP22)/SQRT(6)</f>
        <v>4.1040910596532774E-2</v>
      </c>
    </row>
    <row r="23" spans="1:71" ht="14.4" x14ac:dyDescent="0.3">
      <c r="A23" s="3">
        <v>5</v>
      </c>
      <c r="B23" s="3" t="s">
        <v>13</v>
      </c>
      <c r="C23" s="3">
        <f>(120+7)/24</f>
        <v>5.291666666666667</v>
      </c>
      <c r="D23" s="2">
        <v>43</v>
      </c>
      <c r="E23" s="2">
        <v>45</v>
      </c>
      <c r="F23" s="2">
        <v>43</v>
      </c>
      <c r="G23" s="2">
        <v>43</v>
      </c>
      <c r="H23" s="2">
        <v>40</v>
      </c>
      <c r="I23" s="2">
        <v>42</v>
      </c>
      <c r="J23" s="2">
        <v>43</v>
      </c>
      <c r="K23" s="2">
        <v>41</v>
      </c>
      <c r="L23" s="2">
        <v>45</v>
      </c>
      <c r="M23" s="2">
        <v>43</v>
      </c>
      <c r="N23" s="2">
        <v>44</v>
      </c>
      <c r="O23" s="2">
        <v>42</v>
      </c>
      <c r="Q23">
        <f t="shared" si="7"/>
        <v>44</v>
      </c>
      <c r="R23">
        <f t="shared" si="8"/>
        <v>43</v>
      </c>
      <c r="S23">
        <f t="shared" si="9"/>
        <v>41</v>
      </c>
      <c r="T23">
        <f t="shared" si="10"/>
        <v>42</v>
      </c>
      <c r="U23">
        <f t="shared" si="11"/>
        <v>44</v>
      </c>
      <c r="V23">
        <f t="shared" si="12"/>
        <v>43</v>
      </c>
      <c r="BJ23" s="6" t="s">
        <v>7</v>
      </c>
      <c r="BK23" s="8">
        <f xml:space="preserve"> (10+BO25)/BK22</f>
        <v>1.7709766088751511</v>
      </c>
      <c r="BL23" s="8">
        <f xml:space="preserve"> (10+BO26)/BL22</f>
        <v>1.771817559963812</v>
      </c>
      <c r="BM23" s="8">
        <f xml:space="preserve"> (10+BO27)/BM22</f>
        <v>1.8815908211937604</v>
      </c>
      <c r="BN23" s="8">
        <f xml:space="preserve"> (10+BO28)/BN22</f>
        <v>1.7851458024276945</v>
      </c>
      <c r="BO23" s="8">
        <f xml:space="preserve"> (10+BO29)/BO22</f>
        <v>1.6032534823787825</v>
      </c>
      <c r="BP23" s="8">
        <f xml:space="preserve"> (10+BO30)/BP22</f>
        <v>1.7258114068774826</v>
      </c>
      <c r="BR23" s="15">
        <f>SUM(BK23:BP23)/6</f>
        <v>1.7564326136194472</v>
      </c>
      <c r="BS23" s="15">
        <f>_xlfn.STDEV.P(BK23:BP23)/SQRT(6)</f>
        <v>3.3886556272669545E-2</v>
      </c>
    </row>
    <row r="24" spans="1:71" ht="14.4" x14ac:dyDescent="0.3">
      <c r="A24" s="3">
        <v>6</v>
      </c>
      <c r="B24" s="12">
        <v>0.85069444444444453</v>
      </c>
      <c r="C24" s="3">
        <f>(144+7.5)/24</f>
        <v>6.3125</v>
      </c>
      <c r="D24" s="2">
        <v>52</v>
      </c>
      <c r="E24" s="2">
        <v>55</v>
      </c>
      <c r="F24" s="2">
        <v>51</v>
      </c>
      <c r="G24" s="2">
        <v>51</v>
      </c>
      <c r="H24" s="2">
        <v>50</v>
      </c>
      <c r="I24" s="2">
        <v>52</v>
      </c>
      <c r="J24" s="2">
        <v>52</v>
      </c>
      <c r="K24" s="2">
        <v>51</v>
      </c>
      <c r="L24" s="2">
        <v>55</v>
      </c>
      <c r="M24" s="2">
        <v>53</v>
      </c>
      <c r="N24" s="2">
        <v>55</v>
      </c>
      <c r="O24" s="2">
        <v>50</v>
      </c>
      <c r="Q24">
        <f t="shared" si="7"/>
        <v>53.5</v>
      </c>
      <c r="R24">
        <f t="shared" si="8"/>
        <v>51</v>
      </c>
      <c r="S24">
        <f t="shared" si="9"/>
        <v>51</v>
      </c>
      <c r="T24">
        <f t="shared" si="10"/>
        <v>51.5</v>
      </c>
      <c r="U24">
        <f t="shared" si="11"/>
        <v>54</v>
      </c>
      <c r="V24">
        <f t="shared" si="12"/>
        <v>52.5</v>
      </c>
    </row>
    <row r="25" spans="1:71" ht="14.4" x14ac:dyDescent="0.3">
      <c r="A25" s="3">
        <v>7</v>
      </c>
      <c r="B25" s="12">
        <v>0.86805555555555547</v>
      </c>
      <c r="C25" s="3">
        <f>(168+8.8)/24</f>
        <v>7.3666666666666671</v>
      </c>
      <c r="D25" s="2">
        <v>61</v>
      </c>
      <c r="E25" s="2">
        <v>63</v>
      </c>
      <c r="F25" s="2">
        <v>61</v>
      </c>
      <c r="G25" s="2">
        <v>60</v>
      </c>
      <c r="H25" s="2">
        <v>59</v>
      </c>
      <c r="I25" s="2">
        <v>61</v>
      </c>
      <c r="J25" s="2">
        <v>64</v>
      </c>
      <c r="K25" s="2">
        <v>61</v>
      </c>
      <c r="L25" s="2">
        <v>64</v>
      </c>
      <c r="M25" s="2">
        <v>60</v>
      </c>
      <c r="N25" s="2">
        <v>62</v>
      </c>
      <c r="O25" s="2">
        <v>61</v>
      </c>
      <c r="Q25">
        <f t="shared" si="7"/>
        <v>62</v>
      </c>
      <c r="R25">
        <f t="shared" si="8"/>
        <v>60.5</v>
      </c>
      <c r="S25">
        <f t="shared" si="9"/>
        <v>60</v>
      </c>
      <c r="T25">
        <f t="shared" si="10"/>
        <v>62.5</v>
      </c>
      <c r="U25">
        <f t="shared" si="11"/>
        <v>62</v>
      </c>
      <c r="V25">
        <f t="shared" si="12"/>
        <v>61.5</v>
      </c>
      <c r="BJ25" t="s">
        <v>15</v>
      </c>
      <c r="BK25" t="s">
        <v>16</v>
      </c>
      <c r="BL25" t="s">
        <v>17</v>
      </c>
      <c r="BM25">
        <v>9.3497000000000003</v>
      </c>
      <c r="BN25" t="s">
        <v>18</v>
      </c>
      <c r="BO25">
        <v>6.5580999999999996</v>
      </c>
    </row>
    <row r="26" spans="1:71" ht="14.4" x14ac:dyDescent="0.3">
      <c r="A26" s="3">
        <v>8</v>
      </c>
      <c r="B26" s="12">
        <v>0.75</v>
      </c>
      <c r="C26" s="3">
        <f>(192+5)/24</f>
        <v>8.2083333333333339</v>
      </c>
      <c r="D26" s="2">
        <v>70</v>
      </c>
      <c r="E26" s="2">
        <v>72</v>
      </c>
      <c r="F26" s="2">
        <v>70</v>
      </c>
      <c r="G26" s="2">
        <v>70</v>
      </c>
      <c r="H26" s="2">
        <v>69</v>
      </c>
      <c r="I26" s="2">
        <v>73</v>
      </c>
      <c r="J26" s="2">
        <v>72</v>
      </c>
      <c r="K26" s="2">
        <v>69</v>
      </c>
      <c r="L26" s="2">
        <v>75</v>
      </c>
      <c r="M26" s="2">
        <v>71</v>
      </c>
      <c r="N26" s="2">
        <v>70</v>
      </c>
      <c r="O26" s="2">
        <v>70</v>
      </c>
      <c r="Q26">
        <f>SUM(D26:E26)/2</f>
        <v>71</v>
      </c>
      <c r="R26">
        <f t="shared" si="8"/>
        <v>70</v>
      </c>
      <c r="S26">
        <f t="shared" si="9"/>
        <v>71</v>
      </c>
      <c r="T26">
        <f t="shared" si="10"/>
        <v>70.5</v>
      </c>
      <c r="U26">
        <f t="shared" si="11"/>
        <v>73</v>
      </c>
      <c r="V26">
        <f t="shared" si="12"/>
        <v>70</v>
      </c>
      <c r="BJ26" t="s">
        <v>15</v>
      </c>
      <c r="BK26" t="s">
        <v>16</v>
      </c>
      <c r="BL26" t="s">
        <v>17</v>
      </c>
      <c r="BM26">
        <v>9.0638000000000005</v>
      </c>
      <c r="BN26" t="s">
        <v>18</v>
      </c>
      <c r="BO26">
        <v>6.0594000000000001</v>
      </c>
    </row>
    <row r="27" spans="1:71" ht="14.4" x14ac:dyDescent="0.3">
      <c r="A27" s="3">
        <v>10</v>
      </c>
      <c r="B27" s="12">
        <v>0.54166666666666663</v>
      </c>
      <c r="C27" s="3">
        <v>10</v>
      </c>
      <c r="D27" s="2">
        <v>86</v>
      </c>
      <c r="E27" s="2">
        <v>85</v>
      </c>
      <c r="F27" s="2">
        <v>82</v>
      </c>
      <c r="G27" s="2">
        <v>85</v>
      </c>
      <c r="H27" s="2">
        <v>86</v>
      </c>
      <c r="I27" s="2">
        <v>85</v>
      </c>
      <c r="J27" s="2">
        <v>85</v>
      </c>
      <c r="K27" s="2">
        <v>85</v>
      </c>
      <c r="L27" s="2">
        <v>86</v>
      </c>
      <c r="M27" s="2">
        <v>86</v>
      </c>
      <c r="N27" s="2">
        <v>85</v>
      </c>
      <c r="O27" s="2">
        <v>84</v>
      </c>
      <c r="Q27">
        <f t="shared" si="7"/>
        <v>85.5</v>
      </c>
      <c r="R27">
        <f t="shared" si="8"/>
        <v>83.5</v>
      </c>
      <c r="S27">
        <f t="shared" si="9"/>
        <v>85.5</v>
      </c>
      <c r="T27">
        <f t="shared" si="10"/>
        <v>85</v>
      </c>
      <c r="U27">
        <f t="shared" si="11"/>
        <v>86</v>
      </c>
      <c r="V27">
        <f t="shared" si="12"/>
        <v>84.5</v>
      </c>
      <c r="BJ27" t="s">
        <v>15</v>
      </c>
      <c r="BK27" t="s">
        <v>16</v>
      </c>
      <c r="BL27" t="s">
        <v>17</v>
      </c>
      <c r="BM27">
        <v>9.3084000000000007</v>
      </c>
      <c r="BN27" t="s">
        <v>18</v>
      </c>
      <c r="BO27">
        <v>7.5145999999999997</v>
      </c>
    </row>
    <row r="28" spans="1:71" ht="14.4" x14ac:dyDescent="0.3">
      <c r="A28" s="3">
        <v>13</v>
      </c>
      <c r="B28" s="12">
        <v>0.52083333333333337</v>
      </c>
      <c r="C28" s="3">
        <f>(312-0.5)/24</f>
        <v>12.979166666666666</v>
      </c>
      <c r="D28" s="2">
        <v>90</v>
      </c>
      <c r="E28" s="2">
        <v>90</v>
      </c>
      <c r="F28" s="2">
        <v>90</v>
      </c>
      <c r="G28" s="2">
        <v>90</v>
      </c>
      <c r="H28" s="2">
        <v>90</v>
      </c>
      <c r="I28" s="2">
        <v>90</v>
      </c>
      <c r="J28" s="2">
        <v>90</v>
      </c>
      <c r="K28" s="2">
        <v>90</v>
      </c>
      <c r="L28" s="2">
        <v>90</v>
      </c>
      <c r="M28" s="2">
        <v>90</v>
      </c>
      <c r="N28" s="2">
        <v>90</v>
      </c>
      <c r="O28" s="2">
        <v>90</v>
      </c>
      <c r="Q28">
        <f t="shared" ref="Q28" si="13">SUM(D28:E28)/2</f>
        <v>90</v>
      </c>
      <c r="R28">
        <f t="shared" ref="R28" si="14">SUM(F28:G28)/2</f>
        <v>90</v>
      </c>
      <c r="S28">
        <f t="shared" ref="S28" si="15">SUM(H28:I28)/2</f>
        <v>90</v>
      </c>
      <c r="T28">
        <f t="shared" ref="T28" si="16">SUM(J28:K28)/2</f>
        <v>90</v>
      </c>
      <c r="U28">
        <f t="shared" ref="U28" si="17">SUM(L28:M28)/2</f>
        <v>90</v>
      </c>
      <c r="V28">
        <f t="shared" ref="V28" si="18">SUM(N28:O28)/2</f>
        <v>90</v>
      </c>
      <c r="BJ28" t="s">
        <v>15</v>
      </c>
      <c r="BK28" t="s">
        <v>16</v>
      </c>
      <c r="BL28" t="s">
        <v>17</v>
      </c>
      <c r="BM28">
        <v>9.2350999999999992</v>
      </c>
      <c r="BN28" t="s">
        <v>18</v>
      </c>
      <c r="BO28">
        <v>6.4859999999999998</v>
      </c>
    </row>
    <row r="29" spans="1:71" ht="21" x14ac:dyDescent="0.4">
      <c r="A29" s="3"/>
      <c r="B29" s="3"/>
      <c r="C29" s="10"/>
      <c r="BJ29" t="s">
        <v>15</v>
      </c>
      <c r="BK29" t="s">
        <v>16</v>
      </c>
      <c r="BL29" t="s">
        <v>17</v>
      </c>
      <c r="BM29">
        <v>9.1963000000000008</v>
      </c>
      <c r="BN29" t="s">
        <v>18</v>
      </c>
      <c r="BO29">
        <v>4.7439999999999998</v>
      </c>
    </row>
    <row r="30" spans="1:71" ht="14.4" x14ac:dyDescent="0.25">
      <c r="A30" s="3"/>
      <c r="B30" s="3"/>
      <c r="BJ30" t="s">
        <v>15</v>
      </c>
      <c r="BK30" t="s">
        <v>16</v>
      </c>
      <c r="BL30" t="s">
        <v>17</v>
      </c>
      <c r="BM30">
        <v>9.1137999999999995</v>
      </c>
      <c r="BN30" t="s">
        <v>18</v>
      </c>
      <c r="BO30">
        <v>5.7286999999999999</v>
      </c>
    </row>
  </sheetData>
  <mergeCells count="12">
    <mergeCell ref="N20:O20"/>
    <mergeCell ref="D4:E4"/>
    <mergeCell ref="F4:G4"/>
    <mergeCell ref="H4:I4"/>
    <mergeCell ref="J4:K4"/>
    <mergeCell ref="L4:M4"/>
    <mergeCell ref="N4:O4"/>
    <mergeCell ref="D20:E20"/>
    <mergeCell ref="F20:G20"/>
    <mergeCell ref="H20:I20"/>
    <mergeCell ref="J20:K20"/>
    <mergeCell ref="L20:M20"/>
  </mergeCells>
  <pageMargins left="0.7" right="0.7" top="0.75" bottom="0.75" header="0.3" footer="0.3"/>
  <pageSetup paperSize="25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S40"/>
  <sheetViews>
    <sheetView zoomScaleNormal="100" workbookViewId="0">
      <selection activeCell="BK8" sqref="BK8:BP9"/>
    </sheetView>
  </sheetViews>
  <sheetFormatPr defaultRowHeight="13.8" x14ac:dyDescent="0.25"/>
  <cols>
    <col min="2" max="2" width="8.69921875"/>
    <col min="62" max="62" width="25.8984375" bestFit="1" customWidth="1"/>
  </cols>
  <sheetData>
    <row r="1" spans="1:71" ht="21" x14ac:dyDescent="0.4">
      <c r="C1" s="11">
        <v>0.97</v>
      </c>
      <c r="D1" s="2"/>
      <c r="E1" s="2"/>
      <c r="F1" s="2"/>
      <c r="G1" s="2"/>
      <c r="H1" s="2"/>
      <c r="I1" s="2"/>
    </row>
    <row r="3" spans="1:71" ht="15" thickBot="1" x14ac:dyDescent="0.35">
      <c r="C3" s="2"/>
      <c r="D3" s="2"/>
      <c r="E3" s="2"/>
      <c r="F3" s="2"/>
      <c r="G3" s="2"/>
      <c r="H3" s="2"/>
      <c r="I3" s="2"/>
    </row>
    <row r="4" spans="1:71" ht="15" thickBot="1" x14ac:dyDescent="0.35">
      <c r="B4" s="3">
        <v>12.5</v>
      </c>
      <c r="C4" s="3" t="s">
        <v>0</v>
      </c>
      <c r="D4" s="35">
        <v>1</v>
      </c>
      <c r="E4" s="34"/>
      <c r="F4" s="35">
        <v>2</v>
      </c>
      <c r="G4" s="34"/>
      <c r="H4" s="35">
        <v>3</v>
      </c>
      <c r="I4" s="34"/>
      <c r="J4" s="35">
        <v>4</v>
      </c>
      <c r="K4" s="34"/>
      <c r="L4" s="35">
        <v>5</v>
      </c>
      <c r="M4" s="34"/>
      <c r="N4" s="33">
        <v>6</v>
      </c>
      <c r="O4" s="34"/>
      <c r="Q4" s="4">
        <v>1</v>
      </c>
      <c r="R4" s="4">
        <v>2</v>
      </c>
      <c r="S4" s="4">
        <v>3</v>
      </c>
      <c r="T4" s="4">
        <v>4</v>
      </c>
      <c r="U4" s="4">
        <v>5</v>
      </c>
      <c r="V4" s="4">
        <v>6</v>
      </c>
    </row>
    <row r="5" spans="1:71" ht="14.4" x14ac:dyDescent="0.3">
      <c r="A5" s="3">
        <v>2</v>
      </c>
      <c r="B5" s="3">
        <v>20</v>
      </c>
      <c r="C5" s="3">
        <f>((24*A5)+(B5-12.5))/24</f>
        <v>2.3125</v>
      </c>
      <c r="D5" s="2">
        <v>9</v>
      </c>
      <c r="E5" s="2">
        <v>10</v>
      </c>
      <c r="F5" s="2">
        <v>8</v>
      </c>
      <c r="G5" s="2">
        <v>10</v>
      </c>
      <c r="H5" s="2">
        <v>6</v>
      </c>
      <c r="I5" s="2">
        <v>6</v>
      </c>
      <c r="J5" s="2">
        <v>6</v>
      </c>
      <c r="K5" s="2">
        <v>7</v>
      </c>
      <c r="L5" s="2">
        <v>7</v>
      </c>
      <c r="M5" s="2">
        <v>7</v>
      </c>
      <c r="N5" s="2">
        <v>6</v>
      </c>
      <c r="O5" s="2">
        <v>7</v>
      </c>
      <c r="Q5">
        <f>SUM(D5:E5)/2</f>
        <v>9.5</v>
      </c>
      <c r="R5">
        <f>SUM(F5:G5)/2</f>
        <v>9</v>
      </c>
      <c r="S5">
        <f>SUM(H5:I5)/2</f>
        <v>6</v>
      </c>
      <c r="T5">
        <f>SUM(J5:K5)/2</f>
        <v>6.5</v>
      </c>
      <c r="U5">
        <f>SUM(L5:M5)/2</f>
        <v>7</v>
      </c>
      <c r="V5">
        <f>SUM(N5:O5)/2</f>
        <v>6.5</v>
      </c>
      <c r="BR5" s="17">
        <v>0.97</v>
      </c>
    </row>
    <row r="6" spans="1:71" ht="14.4" x14ac:dyDescent="0.3">
      <c r="A6" s="3">
        <v>4</v>
      </c>
      <c r="B6" s="3">
        <v>19.5</v>
      </c>
      <c r="C6" s="3">
        <f>((24*A6)+(B6-12.5))/24</f>
        <v>4.291666666666667</v>
      </c>
      <c r="D6" s="2">
        <v>9</v>
      </c>
      <c r="E6" s="2">
        <v>10</v>
      </c>
      <c r="F6" s="2">
        <v>8</v>
      </c>
      <c r="G6" s="2">
        <v>10</v>
      </c>
      <c r="H6" s="2">
        <v>6</v>
      </c>
      <c r="I6" s="2">
        <v>6</v>
      </c>
      <c r="J6" s="2">
        <v>8</v>
      </c>
      <c r="K6" s="2">
        <v>10</v>
      </c>
      <c r="L6" s="2">
        <v>8</v>
      </c>
      <c r="M6" s="2">
        <v>10</v>
      </c>
      <c r="N6" s="2">
        <v>9</v>
      </c>
      <c r="O6" s="2">
        <v>9</v>
      </c>
      <c r="Q6">
        <f t="shared" ref="Q6:Q17" si="0">SUM(D6:E6)/2</f>
        <v>9.5</v>
      </c>
      <c r="R6">
        <f t="shared" ref="R6:R17" si="1">SUM(F6:G6)/2</f>
        <v>9</v>
      </c>
      <c r="S6">
        <f t="shared" ref="S6:S17" si="2">SUM(H6:I6)/2</f>
        <v>6</v>
      </c>
      <c r="T6">
        <f t="shared" ref="T6:T17" si="3">SUM(J6:K6)/2</f>
        <v>9</v>
      </c>
      <c r="U6">
        <f t="shared" ref="U6:U17" si="4">SUM(L6:M6)/2</f>
        <v>9</v>
      </c>
      <c r="V6">
        <f t="shared" ref="V6:V17" si="5">SUM(N6:O6)/2</f>
        <v>9</v>
      </c>
      <c r="BK6">
        <v>9.5</v>
      </c>
      <c r="BL6">
        <v>9</v>
      </c>
      <c r="BM6">
        <v>7.5</v>
      </c>
      <c r="BN6">
        <v>9.5</v>
      </c>
      <c r="BO6">
        <v>9.5</v>
      </c>
      <c r="BP6">
        <v>9</v>
      </c>
    </row>
    <row r="7" spans="1:71" ht="14.4" x14ac:dyDescent="0.3">
      <c r="A7" s="3">
        <v>6</v>
      </c>
      <c r="B7" s="3">
        <v>21.5</v>
      </c>
      <c r="C7" s="3">
        <f t="shared" ref="C7:C17" si="6">((24*A7)+(B7-12.5))/24</f>
        <v>6.375</v>
      </c>
      <c r="D7" s="2">
        <v>9</v>
      </c>
      <c r="E7" s="2">
        <v>10</v>
      </c>
      <c r="F7" s="2">
        <v>8</v>
      </c>
      <c r="G7" s="2">
        <v>10</v>
      </c>
      <c r="H7" s="2">
        <v>7</v>
      </c>
      <c r="I7" s="2">
        <v>8</v>
      </c>
      <c r="J7" s="2">
        <v>8</v>
      </c>
      <c r="K7" s="2">
        <v>10</v>
      </c>
      <c r="L7" s="2">
        <v>9</v>
      </c>
      <c r="M7" s="2">
        <v>10</v>
      </c>
      <c r="N7" s="2">
        <v>9</v>
      </c>
      <c r="O7" s="2">
        <v>9</v>
      </c>
      <c r="Q7">
        <f t="shared" si="0"/>
        <v>9.5</v>
      </c>
      <c r="R7">
        <f t="shared" si="1"/>
        <v>9</v>
      </c>
      <c r="S7">
        <f t="shared" si="2"/>
        <v>7.5</v>
      </c>
      <c r="T7">
        <f t="shared" si="3"/>
        <v>9</v>
      </c>
      <c r="U7">
        <f t="shared" si="4"/>
        <v>9.5</v>
      </c>
      <c r="V7">
        <f t="shared" si="5"/>
        <v>9</v>
      </c>
      <c r="BJ7" s="5" t="s">
        <v>3</v>
      </c>
      <c r="BK7" s="6">
        <v>1</v>
      </c>
      <c r="BL7" s="6">
        <v>2</v>
      </c>
      <c r="BM7" s="6">
        <v>3</v>
      </c>
      <c r="BN7" s="6">
        <v>4</v>
      </c>
      <c r="BO7" s="6">
        <v>5</v>
      </c>
      <c r="BP7" s="6">
        <v>6</v>
      </c>
      <c r="BR7" s="13" t="s">
        <v>4</v>
      </c>
      <c r="BS7" s="14" t="s">
        <v>5</v>
      </c>
    </row>
    <row r="8" spans="1:71" ht="14.4" x14ac:dyDescent="0.3">
      <c r="A8" s="3">
        <v>8</v>
      </c>
      <c r="B8" s="3">
        <v>17.16</v>
      </c>
      <c r="C8" s="3">
        <f t="shared" si="6"/>
        <v>8.1941666666666659</v>
      </c>
      <c r="D8" s="2">
        <v>9</v>
      </c>
      <c r="E8" s="2">
        <v>10</v>
      </c>
      <c r="F8" s="2">
        <v>8</v>
      </c>
      <c r="G8" s="2">
        <v>10</v>
      </c>
      <c r="H8" s="2">
        <v>7</v>
      </c>
      <c r="I8" s="2">
        <v>8</v>
      </c>
      <c r="J8" s="2">
        <v>9</v>
      </c>
      <c r="K8" s="2">
        <v>10</v>
      </c>
      <c r="L8" s="2">
        <v>9</v>
      </c>
      <c r="M8" s="2">
        <v>10</v>
      </c>
      <c r="N8" s="2">
        <v>9</v>
      </c>
      <c r="O8" s="2">
        <v>9</v>
      </c>
      <c r="Q8">
        <f t="shared" si="0"/>
        <v>9.5</v>
      </c>
      <c r="R8">
        <f t="shared" si="1"/>
        <v>9</v>
      </c>
      <c r="S8">
        <f t="shared" si="2"/>
        <v>7.5</v>
      </c>
      <c r="T8">
        <f t="shared" si="3"/>
        <v>9.5</v>
      </c>
      <c r="U8">
        <f t="shared" si="4"/>
        <v>9.5</v>
      </c>
      <c r="V8">
        <f t="shared" si="5"/>
        <v>9</v>
      </c>
      <c r="BJ8" s="6" t="s">
        <v>6</v>
      </c>
      <c r="BK8" s="8">
        <f>BL11</f>
        <v>1.4867999999999999</v>
      </c>
      <c r="BL8" s="8">
        <f>BL12</f>
        <v>1.4750000000000001</v>
      </c>
      <c r="BM8" s="8">
        <f>BL13</f>
        <v>1.7084999999999999</v>
      </c>
      <c r="BN8" s="8">
        <f>BL14</f>
        <v>1.6727000000000001</v>
      </c>
      <c r="BO8" s="8">
        <f>BL15</f>
        <v>1.5172000000000001</v>
      </c>
      <c r="BP8" s="8">
        <f>BL16</f>
        <v>1.6374</v>
      </c>
      <c r="BR8" s="15">
        <f>SUM(BK8:BP8)/6</f>
        <v>1.5829333333333333</v>
      </c>
      <c r="BS8" s="15">
        <f>_xlfn.STDEV.P(BK8:BP8)/SQRT(6)</f>
        <v>3.8007219099846064E-2</v>
      </c>
    </row>
    <row r="9" spans="1:71" ht="14.4" x14ac:dyDescent="0.3">
      <c r="A9" s="3">
        <v>10</v>
      </c>
      <c r="B9" s="3">
        <v>18.25</v>
      </c>
      <c r="C9" s="3">
        <f t="shared" si="6"/>
        <v>10.239583333333334</v>
      </c>
      <c r="D9" s="2">
        <v>9</v>
      </c>
      <c r="E9" s="2">
        <v>10</v>
      </c>
      <c r="F9" s="2">
        <v>8</v>
      </c>
      <c r="G9" s="2">
        <v>10</v>
      </c>
      <c r="H9" s="2">
        <v>7</v>
      </c>
      <c r="I9" s="2">
        <v>8</v>
      </c>
      <c r="J9" s="2">
        <v>9</v>
      </c>
      <c r="K9" s="2">
        <v>10</v>
      </c>
      <c r="L9" s="2">
        <v>9</v>
      </c>
      <c r="M9" s="2">
        <v>11</v>
      </c>
      <c r="N9" s="2">
        <v>9</v>
      </c>
      <c r="O9" s="2">
        <v>11</v>
      </c>
      <c r="Q9">
        <f t="shared" si="0"/>
        <v>9.5</v>
      </c>
      <c r="R9">
        <f t="shared" si="1"/>
        <v>9</v>
      </c>
      <c r="S9">
        <f t="shared" si="2"/>
        <v>7.5</v>
      </c>
      <c r="T9">
        <f t="shared" si="3"/>
        <v>9.5</v>
      </c>
      <c r="U9">
        <f t="shared" si="4"/>
        <v>10</v>
      </c>
      <c r="V9">
        <f t="shared" si="5"/>
        <v>10</v>
      </c>
      <c r="BJ9" s="6" t="s">
        <v>7</v>
      </c>
      <c r="BK9" s="8">
        <f xml:space="preserve"> (9.5+BN11)/BK8</f>
        <v>15.546139359698683</v>
      </c>
      <c r="BL9" s="8">
        <f xml:space="preserve"> (9+BN12)/BL8</f>
        <v>16.163389830508475</v>
      </c>
      <c r="BM9" s="8">
        <f xml:space="preserve"> (7.5+BN13)/BM8</f>
        <v>15.901082821188179</v>
      </c>
      <c r="BN9" s="8">
        <f xml:space="preserve"> (9.5+BN14)/BN8</f>
        <v>10.860106414778501</v>
      </c>
      <c r="BO9" s="8">
        <f xml:space="preserve"> (9.5+BN15)/BO8</f>
        <v>10.936923279725809</v>
      </c>
      <c r="BP9" s="8">
        <f xml:space="preserve"> (9+BN16)/BP8</f>
        <v>10.732747037987052</v>
      </c>
      <c r="BR9" s="15">
        <f>SUM(BK9:BP9)/6</f>
        <v>13.356731457314448</v>
      </c>
      <c r="BS9" s="15">
        <f>_xlfn.STDEV.P(BK9:BP9)/SQRT(6)</f>
        <v>1.0290025442942372</v>
      </c>
    </row>
    <row r="10" spans="1:71" ht="14.4" x14ac:dyDescent="0.3">
      <c r="A10" s="3">
        <v>13</v>
      </c>
      <c r="B10" s="3">
        <v>13</v>
      </c>
      <c r="C10" s="3">
        <f t="shared" si="6"/>
        <v>13.020833333333334</v>
      </c>
      <c r="D10" s="2">
        <v>9</v>
      </c>
      <c r="E10" s="2">
        <v>10</v>
      </c>
      <c r="F10" s="2">
        <v>11</v>
      </c>
      <c r="G10" s="2">
        <v>10</v>
      </c>
      <c r="H10" s="2">
        <v>9</v>
      </c>
      <c r="I10" s="2">
        <v>9</v>
      </c>
      <c r="J10" s="2">
        <v>12</v>
      </c>
      <c r="K10" s="2">
        <v>14</v>
      </c>
      <c r="L10" s="2">
        <v>11</v>
      </c>
      <c r="M10" s="2">
        <v>13</v>
      </c>
      <c r="N10" s="2">
        <v>13</v>
      </c>
      <c r="O10" s="2">
        <v>12</v>
      </c>
      <c r="Q10">
        <f t="shared" si="0"/>
        <v>9.5</v>
      </c>
      <c r="R10">
        <f t="shared" si="1"/>
        <v>10.5</v>
      </c>
      <c r="S10">
        <f t="shared" si="2"/>
        <v>9</v>
      </c>
      <c r="T10">
        <f t="shared" si="3"/>
        <v>13</v>
      </c>
      <c r="U10">
        <f t="shared" si="4"/>
        <v>12</v>
      </c>
      <c r="V10">
        <f t="shared" si="5"/>
        <v>12.5</v>
      </c>
    </row>
    <row r="11" spans="1:71" ht="14.4" x14ac:dyDescent="0.3">
      <c r="A11" s="3">
        <v>15</v>
      </c>
      <c r="B11" s="3">
        <v>17.5</v>
      </c>
      <c r="C11" s="3">
        <f t="shared" si="6"/>
        <v>15.208333333333334</v>
      </c>
      <c r="D11" s="2">
        <v>9</v>
      </c>
      <c r="E11" s="2">
        <v>11</v>
      </c>
      <c r="F11" s="2">
        <v>11</v>
      </c>
      <c r="G11" s="2">
        <v>10</v>
      </c>
      <c r="H11" s="2">
        <v>10</v>
      </c>
      <c r="I11" s="2">
        <v>10</v>
      </c>
      <c r="J11" s="2">
        <v>16</v>
      </c>
      <c r="K11" s="2">
        <v>15</v>
      </c>
      <c r="L11" s="2">
        <v>15</v>
      </c>
      <c r="M11" s="2">
        <v>16</v>
      </c>
      <c r="N11" s="2">
        <v>14</v>
      </c>
      <c r="O11" s="2">
        <v>15</v>
      </c>
      <c r="Q11">
        <f t="shared" si="0"/>
        <v>10</v>
      </c>
      <c r="R11">
        <f t="shared" si="1"/>
        <v>10.5</v>
      </c>
      <c r="S11">
        <f t="shared" si="2"/>
        <v>10</v>
      </c>
      <c r="T11">
        <f t="shared" si="3"/>
        <v>15.5</v>
      </c>
      <c r="U11">
        <f t="shared" si="4"/>
        <v>15.5</v>
      </c>
      <c r="V11">
        <f t="shared" si="5"/>
        <v>14.5</v>
      </c>
      <c r="BJ11" t="s">
        <v>45</v>
      </c>
      <c r="BL11">
        <v>1.4867999999999999</v>
      </c>
      <c r="BN11">
        <v>13.614000000000001</v>
      </c>
    </row>
    <row r="12" spans="1:71" ht="14.4" x14ac:dyDescent="0.3">
      <c r="A12" s="3">
        <v>17</v>
      </c>
      <c r="B12" s="3">
        <v>17.329999999999998</v>
      </c>
      <c r="C12" s="3">
        <f t="shared" si="6"/>
        <v>17.201249999999998</v>
      </c>
      <c r="D12" s="2">
        <v>11</v>
      </c>
      <c r="E12" s="2">
        <v>12</v>
      </c>
      <c r="F12" s="2">
        <v>11</v>
      </c>
      <c r="G12" s="2">
        <v>11</v>
      </c>
      <c r="H12" s="2">
        <v>10</v>
      </c>
      <c r="I12" s="2">
        <v>11</v>
      </c>
      <c r="J12" s="2">
        <v>19</v>
      </c>
      <c r="K12" s="2">
        <v>21</v>
      </c>
      <c r="L12" s="2">
        <v>15</v>
      </c>
      <c r="M12" s="2">
        <v>19</v>
      </c>
      <c r="N12" s="2">
        <v>19</v>
      </c>
      <c r="O12" s="2">
        <v>19</v>
      </c>
      <c r="Q12">
        <f t="shared" si="0"/>
        <v>11.5</v>
      </c>
      <c r="R12">
        <f t="shared" si="1"/>
        <v>11</v>
      </c>
      <c r="S12">
        <f t="shared" si="2"/>
        <v>10.5</v>
      </c>
      <c r="T12">
        <f t="shared" si="3"/>
        <v>20</v>
      </c>
      <c r="U12">
        <f t="shared" si="4"/>
        <v>17</v>
      </c>
      <c r="V12">
        <f t="shared" si="5"/>
        <v>19</v>
      </c>
      <c r="BJ12" t="s">
        <v>16</v>
      </c>
      <c r="BK12" t="s">
        <v>17</v>
      </c>
      <c r="BL12">
        <v>1.4750000000000001</v>
      </c>
      <c r="BM12" t="s">
        <v>18</v>
      </c>
      <c r="BN12">
        <v>14.840999999999999</v>
      </c>
    </row>
    <row r="13" spans="1:71" ht="14.4" x14ac:dyDescent="0.3">
      <c r="A13" s="3">
        <v>20</v>
      </c>
      <c r="B13" s="3">
        <v>14.66</v>
      </c>
      <c r="C13" s="3">
        <f t="shared" si="6"/>
        <v>20.09</v>
      </c>
      <c r="D13" s="2">
        <v>16</v>
      </c>
      <c r="E13" s="2">
        <v>15</v>
      </c>
      <c r="F13" s="2">
        <v>15</v>
      </c>
      <c r="G13" s="2">
        <v>14</v>
      </c>
      <c r="H13" s="2">
        <v>15</v>
      </c>
      <c r="I13" s="2">
        <v>13</v>
      </c>
      <c r="J13" s="2">
        <v>24</v>
      </c>
      <c r="K13" s="2">
        <v>26</v>
      </c>
      <c r="L13" s="2">
        <v>23</v>
      </c>
      <c r="M13" s="2">
        <v>25</v>
      </c>
      <c r="N13" s="2">
        <v>25</v>
      </c>
      <c r="O13" s="2">
        <v>24</v>
      </c>
      <c r="Q13">
        <f t="shared" si="0"/>
        <v>15.5</v>
      </c>
      <c r="R13">
        <f t="shared" si="1"/>
        <v>14.5</v>
      </c>
      <c r="S13">
        <f t="shared" si="2"/>
        <v>14</v>
      </c>
      <c r="T13">
        <f t="shared" si="3"/>
        <v>25</v>
      </c>
      <c r="U13">
        <f t="shared" si="4"/>
        <v>24</v>
      </c>
      <c r="V13">
        <f t="shared" si="5"/>
        <v>24.5</v>
      </c>
      <c r="BJ13" t="s">
        <v>16</v>
      </c>
      <c r="BK13" t="s">
        <v>17</v>
      </c>
      <c r="BL13">
        <v>1.7084999999999999</v>
      </c>
      <c r="BM13" t="s">
        <v>18</v>
      </c>
      <c r="BN13">
        <v>19.667000000000002</v>
      </c>
    </row>
    <row r="14" spans="1:71" ht="14.4" x14ac:dyDescent="0.3">
      <c r="A14" s="3">
        <v>22</v>
      </c>
      <c r="B14" s="3">
        <v>16.829999999999998</v>
      </c>
      <c r="C14" s="3">
        <f t="shared" si="6"/>
        <v>22.18041666666667</v>
      </c>
      <c r="D14" s="2">
        <v>20</v>
      </c>
      <c r="E14" s="2">
        <v>20</v>
      </c>
      <c r="F14" s="2">
        <v>18</v>
      </c>
      <c r="G14" s="2">
        <v>16</v>
      </c>
      <c r="H14" s="2">
        <v>19</v>
      </c>
      <c r="I14" s="2">
        <v>18</v>
      </c>
      <c r="J14" s="2">
        <v>29</v>
      </c>
      <c r="K14" s="2">
        <v>27</v>
      </c>
      <c r="L14" s="2">
        <v>26</v>
      </c>
      <c r="M14" s="2">
        <v>28</v>
      </c>
      <c r="N14" s="2">
        <v>27</v>
      </c>
      <c r="O14" s="2">
        <v>28</v>
      </c>
      <c r="Q14">
        <f t="shared" si="0"/>
        <v>20</v>
      </c>
      <c r="R14">
        <f t="shared" si="1"/>
        <v>17</v>
      </c>
      <c r="S14">
        <f t="shared" si="2"/>
        <v>18.5</v>
      </c>
      <c r="T14">
        <f t="shared" si="3"/>
        <v>28</v>
      </c>
      <c r="U14">
        <f t="shared" si="4"/>
        <v>27</v>
      </c>
      <c r="V14">
        <f t="shared" si="5"/>
        <v>27.5</v>
      </c>
      <c r="BJ14" t="s">
        <v>16</v>
      </c>
      <c r="BK14" t="s">
        <v>17</v>
      </c>
      <c r="BL14">
        <v>1.6727000000000001</v>
      </c>
      <c r="BM14" t="s">
        <v>18</v>
      </c>
      <c r="BN14">
        <v>8.6656999999999993</v>
      </c>
    </row>
    <row r="15" spans="1:71" ht="14.4" x14ac:dyDescent="0.3">
      <c r="A15" s="3">
        <v>24</v>
      </c>
      <c r="B15" s="3">
        <v>18</v>
      </c>
      <c r="C15" s="3">
        <f t="shared" si="6"/>
        <v>24.229166666666668</v>
      </c>
      <c r="D15" s="2">
        <v>23</v>
      </c>
      <c r="E15" s="2">
        <v>21</v>
      </c>
      <c r="F15" s="2">
        <v>22</v>
      </c>
      <c r="G15" s="2">
        <v>21</v>
      </c>
      <c r="H15" s="2">
        <v>20</v>
      </c>
      <c r="I15" s="2">
        <v>21</v>
      </c>
      <c r="J15" s="2">
        <v>33</v>
      </c>
      <c r="K15" s="2">
        <v>32</v>
      </c>
      <c r="L15" s="2">
        <v>30</v>
      </c>
      <c r="M15" s="2">
        <v>31</v>
      </c>
      <c r="N15" s="2">
        <v>30</v>
      </c>
      <c r="O15" s="2">
        <v>32</v>
      </c>
      <c r="Q15">
        <f t="shared" si="0"/>
        <v>22</v>
      </c>
      <c r="R15">
        <f t="shared" si="1"/>
        <v>21.5</v>
      </c>
      <c r="S15">
        <f t="shared" si="2"/>
        <v>20.5</v>
      </c>
      <c r="T15">
        <f t="shared" si="3"/>
        <v>32.5</v>
      </c>
      <c r="U15">
        <f t="shared" si="4"/>
        <v>30.5</v>
      </c>
      <c r="V15">
        <f t="shared" si="5"/>
        <v>31</v>
      </c>
      <c r="BJ15" t="s">
        <v>16</v>
      </c>
      <c r="BK15" t="s">
        <v>17</v>
      </c>
      <c r="BL15">
        <v>1.5172000000000001</v>
      </c>
      <c r="BM15" t="s">
        <v>18</v>
      </c>
      <c r="BN15">
        <v>7.0934999999999997</v>
      </c>
    </row>
    <row r="16" spans="1:71" ht="14.4" x14ac:dyDescent="0.3">
      <c r="A16" s="3">
        <v>26</v>
      </c>
      <c r="B16" s="3">
        <v>19.5</v>
      </c>
      <c r="C16" s="3">
        <f t="shared" si="6"/>
        <v>26.291666666666668</v>
      </c>
      <c r="D16" s="2">
        <v>25</v>
      </c>
      <c r="E16" s="2">
        <v>23</v>
      </c>
      <c r="F16" s="2">
        <v>25</v>
      </c>
      <c r="G16" s="2">
        <v>23</v>
      </c>
      <c r="H16" s="2">
        <v>26</v>
      </c>
      <c r="I16" s="2">
        <v>25</v>
      </c>
      <c r="J16" s="2">
        <v>36</v>
      </c>
      <c r="K16" s="2">
        <v>35</v>
      </c>
      <c r="L16" s="2">
        <v>32</v>
      </c>
      <c r="M16" s="2">
        <v>33</v>
      </c>
      <c r="N16" s="2">
        <v>35</v>
      </c>
      <c r="O16" s="2">
        <v>36</v>
      </c>
      <c r="Q16">
        <f t="shared" si="0"/>
        <v>24</v>
      </c>
      <c r="R16">
        <f t="shared" si="1"/>
        <v>24</v>
      </c>
      <c r="S16">
        <f t="shared" si="2"/>
        <v>25.5</v>
      </c>
      <c r="T16">
        <f t="shared" si="3"/>
        <v>35.5</v>
      </c>
      <c r="U16">
        <f t="shared" si="4"/>
        <v>32.5</v>
      </c>
      <c r="V16">
        <f t="shared" si="5"/>
        <v>35.5</v>
      </c>
      <c r="BJ16" t="s">
        <v>16</v>
      </c>
      <c r="BK16" t="s">
        <v>17</v>
      </c>
      <c r="BL16">
        <v>1.6374</v>
      </c>
      <c r="BM16" t="s">
        <v>18</v>
      </c>
      <c r="BN16">
        <v>8.5738000000000003</v>
      </c>
    </row>
    <row r="17" spans="1:71" ht="14.4" x14ac:dyDescent="0.3">
      <c r="A17" s="3">
        <v>29</v>
      </c>
      <c r="B17" s="3">
        <v>13</v>
      </c>
      <c r="C17" s="3">
        <f t="shared" si="6"/>
        <v>29.020833333333332</v>
      </c>
      <c r="D17" s="2">
        <v>31</v>
      </c>
      <c r="E17" s="2">
        <v>31</v>
      </c>
      <c r="F17" s="2">
        <v>28</v>
      </c>
      <c r="G17" s="2">
        <v>28</v>
      </c>
      <c r="H17" s="2">
        <v>31</v>
      </c>
      <c r="I17" s="2">
        <v>30</v>
      </c>
      <c r="J17" s="2"/>
      <c r="K17" s="2"/>
      <c r="L17" s="2"/>
      <c r="M17" s="2"/>
      <c r="N17" s="2"/>
      <c r="O17" s="2"/>
      <c r="Q17">
        <f t="shared" si="0"/>
        <v>31</v>
      </c>
      <c r="R17">
        <f t="shared" si="1"/>
        <v>28</v>
      </c>
      <c r="S17">
        <f t="shared" si="2"/>
        <v>30.5</v>
      </c>
      <c r="T17">
        <f t="shared" si="3"/>
        <v>0</v>
      </c>
      <c r="U17">
        <f t="shared" si="4"/>
        <v>0</v>
      </c>
      <c r="V17">
        <f t="shared" si="5"/>
        <v>0</v>
      </c>
    </row>
    <row r="18" spans="1:71" ht="14.4" x14ac:dyDescent="0.25">
      <c r="A18" s="3"/>
      <c r="B18" s="3"/>
      <c r="C18" s="3"/>
    </row>
    <row r="19" spans="1:71" ht="14.4" x14ac:dyDescent="0.25">
      <c r="A19" s="3"/>
      <c r="B19" s="3"/>
    </row>
    <row r="23" spans="1:71" ht="21" x14ac:dyDescent="0.4">
      <c r="C23" s="11">
        <v>0.99</v>
      </c>
    </row>
    <row r="24" spans="1:71" ht="14.4" thickBot="1" x14ac:dyDescent="0.3"/>
    <row r="25" spans="1:71" ht="15" thickBot="1" x14ac:dyDescent="0.35">
      <c r="C25" s="3" t="s">
        <v>0</v>
      </c>
      <c r="D25" s="35">
        <v>1</v>
      </c>
      <c r="E25" s="34"/>
      <c r="F25" s="35">
        <v>2</v>
      </c>
      <c r="G25" s="34"/>
      <c r="H25" s="35">
        <v>3</v>
      </c>
      <c r="I25" s="34"/>
      <c r="J25" s="35">
        <v>4</v>
      </c>
      <c r="K25" s="34"/>
      <c r="L25" s="35">
        <v>5</v>
      </c>
      <c r="M25" s="34"/>
      <c r="N25" s="33">
        <v>6</v>
      </c>
      <c r="O25" s="34"/>
      <c r="Q25" s="4">
        <v>1</v>
      </c>
      <c r="R25" s="4">
        <v>2</v>
      </c>
      <c r="S25" s="4">
        <v>3</v>
      </c>
      <c r="T25" s="4">
        <v>4</v>
      </c>
      <c r="U25" s="4">
        <v>5</v>
      </c>
      <c r="V25" s="4">
        <v>6</v>
      </c>
      <c r="BR25" s="17">
        <v>0.99</v>
      </c>
    </row>
    <row r="26" spans="1:71" ht="14.4" x14ac:dyDescent="0.3">
      <c r="A26" s="3">
        <v>2</v>
      </c>
      <c r="B26" s="3">
        <v>20</v>
      </c>
      <c r="C26" s="3">
        <f>((24*A26)+(B26-12.5))/24</f>
        <v>2.3125</v>
      </c>
      <c r="D26" s="2">
        <v>9</v>
      </c>
      <c r="E26" s="2">
        <v>9</v>
      </c>
      <c r="F26" s="2">
        <v>7</v>
      </c>
      <c r="G26" s="2">
        <v>8</v>
      </c>
      <c r="H26" s="2">
        <v>6</v>
      </c>
      <c r="I26" s="2">
        <v>7</v>
      </c>
      <c r="J26" s="2">
        <v>10</v>
      </c>
      <c r="K26" s="2">
        <v>9</v>
      </c>
      <c r="L26" s="2">
        <v>11</v>
      </c>
      <c r="M26" s="2">
        <v>10</v>
      </c>
      <c r="N26" s="2">
        <v>9</v>
      </c>
      <c r="O26" s="2">
        <v>10</v>
      </c>
      <c r="Q26">
        <f>SUM(D26:E26)/2</f>
        <v>9</v>
      </c>
      <c r="R26">
        <f>SUM(F26:G26)/2</f>
        <v>7.5</v>
      </c>
      <c r="S26">
        <f>SUM(H26:I26)/2</f>
        <v>6.5</v>
      </c>
      <c r="T26">
        <f>SUM(J26:K26)/2</f>
        <v>9.5</v>
      </c>
      <c r="U26">
        <f>SUM(L26:M26)/2</f>
        <v>10.5</v>
      </c>
      <c r="V26">
        <f>SUM(N26:O26)/2</f>
        <v>9.5</v>
      </c>
      <c r="BK26">
        <v>9</v>
      </c>
      <c r="BL26">
        <v>7.5</v>
      </c>
      <c r="BM26">
        <v>6.5</v>
      </c>
      <c r="BN26">
        <v>9.5</v>
      </c>
      <c r="BO26">
        <v>10.5</v>
      </c>
      <c r="BP26">
        <v>9.5</v>
      </c>
    </row>
    <row r="27" spans="1:71" ht="14.4" x14ac:dyDescent="0.3">
      <c r="A27" s="3">
        <v>4</v>
      </c>
      <c r="B27" s="3">
        <v>19.5</v>
      </c>
      <c r="C27" s="3">
        <f>((24*A27)+(B27-12.5))/24</f>
        <v>4.291666666666667</v>
      </c>
      <c r="D27" s="2">
        <v>9</v>
      </c>
      <c r="E27" s="2">
        <v>9</v>
      </c>
      <c r="F27" s="2">
        <v>7</v>
      </c>
      <c r="G27" s="2">
        <v>8</v>
      </c>
      <c r="H27" s="2">
        <v>9</v>
      </c>
      <c r="I27" s="2">
        <v>9</v>
      </c>
      <c r="J27" s="2">
        <v>10</v>
      </c>
      <c r="K27" s="2">
        <v>9</v>
      </c>
      <c r="L27" s="2">
        <v>11</v>
      </c>
      <c r="M27" s="2">
        <v>10</v>
      </c>
      <c r="N27" s="2">
        <v>9</v>
      </c>
      <c r="O27" s="2">
        <v>10</v>
      </c>
      <c r="Q27">
        <f t="shared" ref="Q27:Q38" si="7">SUM(D27:E27)/2</f>
        <v>9</v>
      </c>
      <c r="R27">
        <f t="shared" ref="R27:R37" si="8">SUM(F27:G27)/2</f>
        <v>7.5</v>
      </c>
      <c r="S27">
        <f t="shared" ref="S27:S37" si="9">SUM(H27:I27)/2</f>
        <v>9</v>
      </c>
      <c r="T27">
        <f t="shared" ref="T27:T38" si="10">SUM(J27:K27)/2</f>
        <v>9.5</v>
      </c>
      <c r="U27">
        <f t="shared" ref="U27:U38" si="11">SUM(L27:M27)/2</f>
        <v>10.5</v>
      </c>
      <c r="V27">
        <f t="shared" ref="V27:V36" si="12">SUM(N27:O27)/2</f>
        <v>9.5</v>
      </c>
      <c r="BJ27" s="5" t="s">
        <v>3</v>
      </c>
      <c r="BK27" s="6">
        <v>1</v>
      </c>
      <c r="BL27" s="6">
        <v>2</v>
      </c>
      <c r="BM27" s="6">
        <v>3</v>
      </c>
      <c r="BN27" s="6">
        <v>4</v>
      </c>
      <c r="BO27" s="6">
        <v>5</v>
      </c>
      <c r="BP27" s="6">
        <v>6</v>
      </c>
      <c r="BR27" s="13" t="s">
        <v>4</v>
      </c>
      <c r="BS27" s="14" t="s">
        <v>5</v>
      </c>
    </row>
    <row r="28" spans="1:71" ht="14.4" x14ac:dyDescent="0.3">
      <c r="A28" s="3">
        <v>6</v>
      </c>
      <c r="B28" s="3">
        <v>21.5</v>
      </c>
      <c r="C28" s="3">
        <f t="shared" ref="C28:C34" si="13">((24*A28)+(B28-12.5))/24</f>
        <v>6.375</v>
      </c>
      <c r="D28" s="2">
        <v>9</v>
      </c>
      <c r="E28" s="2">
        <v>10</v>
      </c>
      <c r="F28" s="2">
        <v>9</v>
      </c>
      <c r="G28" s="2">
        <v>10</v>
      </c>
      <c r="H28" s="2">
        <v>9</v>
      </c>
      <c r="I28" s="2">
        <v>10</v>
      </c>
      <c r="J28" s="2">
        <v>12</v>
      </c>
      <c r="K28" s="2">
        <v>11</v>
      </c>
      <c r="L28" s="2">
        <v>11</v>
      </c>
      <c r="M28" s="2">
        <v>10</v>
      </c>
      <c r="N28" s="2">
        <v>9</v>
      </c>
      <c r="O28" s="2">
        <v>10</v>
      </c>
      <c r="Q28">
        <f t="shared" si="7"/>
        <v>9.5</v>
      </c>
      <c r="R28">
        <f t="shared" si="8"/>
        <v>9.5</v>
      </c>
      <c r="S28">
        <f t="shared" si="9"/>
        <v>9.5</v>
      </c>
      <c r="T28">
        <f t="shared" si="10"/>
        <v>11.5</v>
      </c>
      <c r="U28">
        <f t="shared" si="11"/>
        <v>10.5</v>
      </c>
      <c r="V28">
        <f t="shared" si="12"/>
        <v>9.5</v>
      </c>
      <c r="BJ28" s="6" t="s">
        <v>6</v>
      </c>
      <c r="BK28" s="8">
        <f>BM31</f>
        <v>2.5535999999999999</v>
      </c>
      <c r="BL28" s="8">
        <f>BM32</f>
        <v>2.4963000000000002</v>
      </c>
      <c r="BM28" s="8">
        <f>BM33</f>
        <v>2.4992000000000001</v>
      </c>
      <c r="BN28" s="8">
        <f>BM34</f>
        <v>2.4841000000000002</v>
      </c>
      <c r="BO28" s="9">
        <f>BM35</f>
        <v>2.6030000000000002</v>
      </c>
      <c r="BP28" s="8">
        <f>BM36</f>
        <v>2.4980000000000002</v>
      </c>
      <c r="BR28" s="15">
        <f>SUM(BK28:BP28)/6</f>
        <v>2.5223666666666666</v>
      </c>
      <c r="BS28" s="15">
        <f>_xlfn.STDEV.P(BK28:BP28)/SQRT(6)</f>
        <v>1.7281568001561439E-2</v>
      </c>
    </row>
    <row r="29" spans="1:71" ht="14.4" x14ac:dyDescent="0.3">
      <c r="A29" s="3">
        <v>8</v>
      </c>
      <c r="B29" s="3">
        <v>17.16</v>
      </c>
      <c r="C29" s="3">
        <f t="shared" si="13"/>
        <v>8.1941666666666659</v>
      </c>
      <c r="D29" s="2">
        <v>15</v>
      </c>
      <c r="E29" s="2">
        <v>12</v>
      </c>
      <c r="F29" s="2">
        <v>13</v>
      </c>
      <c r="G29" s="2">
        <v>12</v>
      </c>
      <c r="H29" s="2">
        <v>14</v>
      </c>
      <c r="I29" s="2">
        <v>15</v>
      </c>
      <c r="J29" s="2">
        <v>15</v>
      </c>
      <c r="K29" s="2">
        <v>15</v>
      </c>
      <c r="L29" s="2">
        <v>15</v>
      </c>
      <c r="M29" s="2">
        <v>14</v>
      </c>
      <c r="N29" s="2">
        <v>13</v>
      </c>
      <c r="O29" s="2">
        <v>15</v>
      </c>
      <c r="Q29">
        <f t="shared" si="7"/>
        <v>13.5</v>
      </c>
      <c r="R29">
        <f t="shared" si="8"/>
        <v>12.5</v>
      </c>
      <c r="S29">
        <f t="shared" si="9"/>
        <v>14.5</v>
      </c>
      <c r="T29">
        <f t="shared" si="10"/>
        <v>15</v>
      </c>
      <c r="U29">
        <f t="shared" si="11"/>
        <v>14.5</v>
      </c>
      <c r="V29">
        <f t="shared" si="12"/>
        <v>14</v>
      </c>
      <c r="BJ29" s="6" t="s">
        <v>7</v>
      </c>
      <c r="BK29" s="8">
        <f xml:space="preserve"> (9+BO31)/BK28</f>
        <v>6.5912828947368416</v>
      </c>
      <c r="BL29" s="8">
        <f xml:space="preserve"> (7.5+BO32)/BL28</f>
        <v>5.8073148259423943</v>
      </c>
      <c r="BM29" s="8">
        <f xml:space="preserve"> (6.5+BO33)/BM28</f>
        <v>5.5996318822023046</v>
      </c>
      <c r="BN29" s="8">
        <f xml:space="preserve"> (9.5+BO34)/BN28</f>
        <v>6.0582102169799921</v>
      </c>
      <c r="BO29" s="8">
        <f xml:space="preserve"> (10.5+BO35)/BO28</f>
        <v>6.6411448328851321</v>
      </c>
      <c r="BP29" s="8">
        <f xml:space="preserve"> (9.5+BO36)/BP28</f>
        <v>6.7554843875100072</v>
      </c>
      <c r="BR29" s="15">
        <f>SUM(BK29:BP29)/6</f>
        <v>6.2421781733761117</v>
      </c>
      <c r="BS29" s="15">
        <f>_xlfn.STDEV.P(BK29:BP29)/SQRT(6)</f>
        <v>0.18107302452384369</v>
      </c>
    </row>
    <row r="30" spans="1:71" ht="14.4" x14ac:dyDescent="0.3">
      <c r="A30" s="3">
        <v>10</v>
      </c>
      <c r="B30" s="3">
        <v>18.25</v>
      </c>
      <c r="C30" s="3">
        <f t="shared" si="13"/>
        <v>10.239583333333334</v>
      </c>
      <c r="D30" s="2">
        <v>18</v>
      </c>
      <c r="E30" s="2">
        <v>16</v>
      </c>
      <c r="F30" s="2">
        <v>20</v>
      </c>
      <c r="G30" s="2">
        <v>20</v>
      </c>
      <c r="H30" s="2">
        <v>16</v>
      </c>
      <c r="I30" s="2">
        <v>18</v>
      </c>
      <c r="J30" s="2">
        <v>20</v>
      </c>
      <c r="K30" s="2">
        <v>20</v>
      </c>
      <c r="L30" s="2">
        <v>20</v>
      </c>
      <c r="M30" s="2">
        <v>20</v>
      </c>
      <c r="N30" s="2">
        <v>17</v>
      </c>
      <c r="O30" s="2">
        <v>20</v>
      </c>
      <c r="Q30">
        <f t="shared" si="7"/>
        <v>17</v>
      </c>
      <c r="R30">
        <f t="shared" si="8"/>
        <v>20</v>
      </c>
      <c r="S30">
        <f t="shared" si="9"/>
        <v>17</v>
      </c>
      <c r="T30">
        <f t="shared" si="10"/>
        <v>20</v>
      </c>
      <c r="U30">
        <f t="shared" si="11"/>
        <v>20</v>
      </c>
      <c r="V30">
        <f t="shared" si="12"/>
        <v>18.5</v>
      </c>
    </row>
    <row r="31" spans="1:71" ht="14.4" x14ac:dyDescent="0.3">
      <c r="A31" s="3">
        <v>13</v>
      </c>
      <c r="B31" s="3">
        <v>13</v>
      </c>
      <c r="C31" s="3">
        <f t="shared" si="13"/>
        <v>13.020833333333334</v>
      </c>
      <c r="D31" s="2">
        <v>26</v>
      </c>
      <c r="E31" s="2">
        <v>25</v>
      </c>
      <c r="F31" s="2">
        <v>25</v>
      </c>
      <c r="G31" s="2">
        <v>25</v>
      </c>
      <c r="H31" s="2">
        <v>24</v>
      </c>
      <c r="I31" s="2">
        <v>25</v>
      </c>
      <c r="J31" s="2">
        <v>26</v>
      </c>
      <c r="K31" s="2">
        <v>25</v>
      </c>
      <c r="L31" s="2">
        <v>27</v>
      </c>
      <c r="M31" s="2">
        <v>27</v>
      </c>
      <c r="N31" s="2">
        <v>23</v>
      </c>
      <c r="O31" s="2">
        <v>24</v>
      </c>
      <c r="Q31">
        <f t="shared" si="7"/>
        <v>25.5</v>
      </c>
      <c r="R31">
        <f t="shared" si="8"/>
        <v>25</v>
      </c>
      <c r="S31">
        <f t="shared" si="9"/>
        <v>24.5</v>
      </c>
      <c r="T31">
        <f t="shared" si="10"/>
        <v>25.5</v>
      </c>
      <c r="U31">
        <f t="shared" si="11"/>
        <v>27</v>
      </c>
      <c r="V31">
        <f t="shared" si="12"/>
        <v>23.5</v>
      </c>
      <c r="BJ31" t="s">
        <v>15</v>
      </c>
      <c r="BK31" t="s">
        <v>16</v>
      </c>
      <c r="BL31" t="s">
        <v>17</v>
      </c>
      <c r="BM31">
        <v>2.5535999999999999</v>
      </c>
      <c r="BN31" t="s">
        <v>18</v>
      </c>
      <c r="BO31">
        <v>7.8315000000000001</v>
      </c>
    </row>
    <row r="32" spans="1:71" ht="14.4" x14ac:dyDescent="0.3">
      <c r="A32" s="3">
        <v>15</v>
      </c>
      <c r="B32" s="3">
        <v>17.5</v>
      </c>
      <c r="C32" s="3">
        <f t="shared" si="13"/>
        <v>15.208333333333334</v>
      </c>
      <c r="D32" s="2">
        <v>31</v>
      </c>
      <c r="E32" s="2">
        <v>31</v>
      </c>
      <c r="F32" s="2">
        <v>31</v>
      </c>
      <c r="G32" s="2">
        <v>30</v>
      </c>
      <c r="H32" s="2">
        <v>29</v>
      </c>
      <c r="I32" s="2">
        <v>30</v>
      </c>
      <c r="J32" s="2">
        <v>32</v>
      </c>
      <c r="K32" s="2">
        <v>31</v>
      </c>
      <c r="L32" s="2">
        <v>33</v>
      </c>
      <c r="M32" s="2">
        <v>32</v>
      </c>
      <c r="N32" s="2">
        <v>30</v>
      </c>
      <c r="O32" s="2">
        <v>32</v>
      </c>
      <c r="Q32">
        <f t="shared" si="7"/>
        <v>31</v>
      </c>
      <c r="R32">
        <f t="shared" si="8"/>
        <v>30.5</v>
      </c>
      <c r="S32">
        <f t="shared" si="9"/>
        <v>29.5</v>
      </c>
      <c r="T32">
        <f t="shared" si="10"/>
        <v>31.5</v>
      </c>
      <c r="U32">
        <f t="shared" si="11"/>
        <v>32.5</v>
      </c>
      <c r="V32">
        <f t="shared" si="12"/>
        <v>31</v>
      </c>
      <c r="BJ32" t="s">
        <v>15</v>
      </c>
      <c r="BK32" t="s">
        <v>16</v>
      </c>
      <c r="BL32" t="s">
        <v>17</v>
      </c>
      <c r="BM32">
        <v>2.4963000000000002</v>
      </c>
      <c r="BN32" t="s">
        <v>18</v>
      </c>
      <c r="BO32">
        <v>6.9968000000000004</v>
      </c>
    </row>
    <row r="33" spans="1:67" ht="14.4" x14ac:dyDescent="0.3">
      <c r="A33" s="3">
        <v>17</v>
      </c>
      <c r="B33" s="3">
        <v>17.329999999999998</v>
      </c>
      <c r="C33" s="3">
        <f t="shared" si="13"/>
        <v>17.201249999999998</v>
      </c>
      <c r="D33" s="2">
        <v>36</v>
      </c>
      <c r="E33" s="2">
        <v>36</v>
      </c>
      <c r="F33" s="2">
        <v>35</v>
      </c>
      <c r="G33" s="2">
        <v>36</v>
      </c>
      <c r="H33" s="2">
        <v>35</v>
      </c>
      <c r="I33" s="2">
        <v>36</v>
      </c>
      <c r="J33" s="2">
        <v>38</v>
      </c>
      <c r="K33" s="2">
        <v>34</v>
      </c>
      <c r="L33" s="2">
        <v>36</v>
      </c>
      <c r="M33" s="2">
        <v>38</v>
      </c>
      <c r="N33" s="2">
        <v>32</v>
      </c>
      <c r="O33" s="2">
        <v>35</v>
      </c>
      <c r="Q33">
        <f t="shared" si="7"/>
        <v>36</v>
      </c>
      <c r="R33">
        <f t="shared" si="8"/>
        <v>35.5</v>
      </c>
      <c r="S33">
        <f t="shared" si="9"/>
        <v>35.5</v>
      </c>
      <c r="T33">
        <f t="shared" si="10"/>
        <v>36</v>
      </c>
      <c r="U33">
        <f t="shared" si="11"/>
        <v>37</v>
      </c>
      <c r="V33">
        <f t="shared" si="12"/>
        <v>33.5</v>
      </c>
      <c r="BJ33" t="s">
        <v>15</v>
      </c>
      <c r="BK33" t="s">
        <v>16</v>
      </c>
      <c r="BL33" t="s">
        <v>17</v>
      </c>
      <c r="BM33">
        <v>2.4992000000000001</v>
      </c>
      <c r="BN33" t="s">
        <v>18</v>
      </c>
      <c r="BO33">
        <v>7.4946000000000002</v>
      </c>
    </row>
    <row r="34" spans="1:67" ht="14.4" x14ac:dyDescent="0.3">
      <c r="A34" s="3">
        <v>20</v>
      </c>
      <c r="B34" s="3">
        <v>14.66</v>
      </c>
      <c r="C34" s="3">
        <f t="shared" si="13"/>
        <v>20.09</v>
      </c>
      <c r="D34" s="2">
        <v>43</v>
      </c>
      <c r="E34" s="2">
        <v>42</v>
      </c>
      <c r="F34" s="2">
        <v>43</v>
      </c>
      <c r="G34" s="2">
        <v>44</v>
      </c>
      <c r="H34" s="2">
        <v>41</v>
      </c>
      <c r="I34" s="2">
        <v>42</v>
      </c>
      <c r="J34" s="2">
        <v>47</v>
      </c>
      <c r="K34" s="2">
        <v>43</v>
      </c>
      <c r="L34" s="2">
        <v>46</v>
      </c>
      <c r="M34" s="2">
        <v>45</v>
      </c>
      <c r="N34" s="2">
        <v>41</v>
      </c>
      <c r="O34" s="2">
        <v>43</v>
      </c>
      <c r="Q34">
        <f t="shared" si="7"/>
        <v>42.5</v>
      </c>
      <c r="R34">
        <f t="shared" si="8"/>
        <v>43.5</v>
      </c>
      <c r="S34">
        <f t="shared" si="9"/>
        <v>41.5</v>
      </c>
      <c r="T34">
        <f t="shared" si="10"/>
        <v>45</v>
      </c>
      <c r="U34">
        <f t="shared" si="11"/>
        <v>45.5</v>
      </c>
      <c r="V34">
        <f t="shared" si="12"/>
        <v>42</v>
      </c>
      <c r="BJ34" t="s">
        <v>15</v>
      </c>
      <c r="BK34" t="s">
        <v>16</v>
      </c>
      <c r="BL34" t="s">
        <v>17</v>
      </c>
      <c r="BM34">
        <v>2.4841000000000002</v>
      </c>
      <c r="BN34" t="s">
        <v>18</v>
      </c>
      <c r="BO34">
        <v>5.5491999999999999</v>
      </c>
    </row>
    <row r="35" spans="1:67" ht="14.4" x14ac:dyDescent="0.3">
      <c r="A35" s="3">
        <v>22</v>
      </c>
      <c r="B35" s="3">
        <v>16.829999999999998</v>
      </c>
      <c r="C35" s="3">
        <f>((24*A35)+(B35-12.5))/24</f>
        <v>22.18041666666667</v>
      </c>
      <c r="D35" s="2">
        <v>48</v>
      </c>
      <c r="E35" s="2">
        <v>49</v>
      </c>
      <c r="F35" s="2">
        <v>48</v>
      </c>
      <c r="G35" s="2">
        <v>47</v>
      </c>
      <c r="H35" s="2">
        <v>47</v>
      </c>
      <c r="I35" s="2">
        <v>46</v>
      </c>
      <c r="J35" s="2">
        <v>50</v>
      </c>
      <c r="K35" s="2">
        <v>50</v>
      </c>
      <c r="L35" s="2">
        <v>51</v>
      </c>
      <c r="M35" s="2">
        <v>50</v>
      </c>
      <c r="N35" s="2">
        <v>47</v>
      </c>
      <c r="O35" s="2">
        <v>50</v>
      </c>
      <c r="Q35">
        <f t="shared" si="7"/>
        <v>48.5</v>
      </c>
      <c r="R35">
        <f t="shared" si="8"/>
        <v>47.5</v>
      </c>
      <c r="S35">
        <f t="shared" si="9"/>
        <v>46.5</v>
      </c>
      <c r="T35">
        <f t="shared" si="10"/>
        <v>50</v>
      </c>
      <c r="U35">
        <f t="shared" si="11"/>
        <v>50.5</v>
      </c>
      <c r="V35">
        <f t="shared" si="12"/>
        <v>48.5</v>
      </c>
      <c r="BJ35" t="s">
        <v>15</v>
      </c>
      <c r="BK35" t="s">
        <v>16</v>
      </c>
      <c r="BL35" t="s">
        <v>17</v>
      </c>
      <c r="BM35">
        <v>2.6030000000000002</v>
      </c>
      <c r="BN35" t="s">
        <v>18</v>
      </c>
      <c r="BO35">
        <v>6.7869000000000002</v>
      </c>
    </row>
    <row r="36" spans="1:67" ht="14.4" x14ac:dyDescent="0.3">
      <c r="A36" s="3">
        <v>24</v>
      </c>
      <c r="B36" s="3">
        <v>18</v>
      </c>
      <c r="C36" s="3">
        <f>((24*A36)+(B36-12.5))/24</f>
        <v>24.229166666666668</v>
      </c>
      <c r="D36" s="2">
        <v>53</v>
      </c>
      <c r="E36" s="2">
        <v>55</v>
      </c>
      <c r="F36" s="2">
        <v>52</v>
      </c>
      <c r="G36" s="2">
        <v>55</v>
      </c>
      <c r="H36" s="2">
        <v>53</v>
      </c>
      <c r="I36" s="2">
        <v>54</v>
      </c>
      <c r="J36" s="2">
        <v>55</v>
      </c>
      <c r="K36" s="2">
        <v>55</v>
      </c>
      <c r="L36" s="2">
        <v>58</v>
      </c>
      <c r="M36" s="2">
        <v>55</v>
      </c>
      <c r="N36" s="2">
        <v>52</v>
      </c>
      <c r="O36" s="2">
        <v>54</v>
      </c>
      <c r="Q36">
        <f t="shared" si="7"/>
        <v>54</v>
      </c>
      <c r="R36">
        <f t="shared" si="8"/>
        <v>53.5</v>
      </c>
      <c r="S36">
        <f t="shared" si="9"/>
        <v>53.5</v>
      </c>
      <c r="T36">
        <f t="shared" si="10"/>
        <v>55</v>
      </c>
      <c r="U36">
        <f t="shared" si="11"/>
        <v>56.5</v>
      </c>
      <c r="V36">
        <f t="shared" si="12"/>
        <v>53</v>
      </c>
      <c r="BJ36" t="s">
        <v>15</v>
      </c>
      <c r="BK36" t="s">
        <v>16</v>
      </c>
      <c r="BL36" t="s">
        <v>17</v>
      </c>
      <c r="BM36">
        <v>2.4980000000000002</v>
      </c>
      <c r="BN36" t="s">
        <v>18</v>
      </c>
      <c r="BO36">
        <v>7.3752000000000004</v>
      </c>
    </row>
    <row r="37" spans="1:67" ht="14.4" x14ac:dyDescent="0.3">
      <c r="A37" s="3">
        <v>26</v>
      </c>
      <c r="B37" s="3">
        <v>19.5</v>
      </c>
      <c r="C37" s="3">
        <f>((24*A37)+(B37-12.5))/24</f>
        <v>26.291666666666668</v>
      </c>
      <c r="D37" s="2">
        <v>60</v>
      </c>
      <c r="E37" s="2">
        <v>61</v>
      </c>
      <c r="F37" s="2">
        <v>59</v>
      </c>
      <c r="G37" s="2">
        <v>60</v>
      </c>
      <c r="H37" s="2">
        <v>60</v>
      </c>
      <c r="I37" s="2">
        <v>61</v>
      </c>
      <c r="J37" s="2">
        <v>61</v>
      </c>
      <c r="K37" s="2">
        <v>59</v>
      </c>
      <c r="L37" s="2">
        <v>64</v>
      </c>
      <c r="M37" s="2">
        <v>61</v>
      </c>
      <c r="N37" s="2">
        <v>59</v>
      </c>
      <c r="O37" s="2">
        <v>61</v>
      </c>
      <c r="Q37">
        <f t="shared" si="7"/>
        <v>60.5</v>
      </c>
      <c r="R37">
        <f t="shared" si="8"/>
        <v>59.5</v>
      </c>
      <c r="S37">
        <f t="shared" si="9"/>
        <v>60.5</v>
      </c>
      <c r="T37">
        <f t="shared" si="10"/>
        <v>60</v>
      </c>
      <c r="U37">
        <f t="shared" si="11"/>
        <v>62.5</v>
      </c>
      <c r="V37">
        <f>SUM(N37:O37)/2</f>
        <v>60</v>
      </c>
    </row>
    <row r="38" spans="1:67" ht="14.4" x14ac:dyDescent="0.3">
      <c r="A38" s="3"/>
      <c r="D38" s="2"/>
      <c r="E38" s="2"/>
      <c r="F38" s="2"/>
      <c r="H38" s="2" t="s">
        <v>44</v>
      </c>
      <c r="I38" s="2"/>
      <c r="J38" s="2"/>
      <c r="K38" s="2"/>
      <c r="L38" s="2"/>
      <c r="M38" s="2"/>
      <c r="N38" s="2"/>
      <c r="O38" s="2"/>
      <c r="Q38">
        <f t="shared" si="7"/>
        <v>0</v>
      </c>
      <c r="R38">
        <f>SUM(F38:H38)/2</f>
        <v>0</v>
      </c>
      <c r="S38">
        <f>SUM(H38:I38)/2</f>
        <v>0</v>
      </c>
      <c r="T38">
        <f t="shared" si="10"/>
        <v>0</v>
      </c>
      <c r="U38">
        <f t="shared" si="11"/>
        <v>0</v>
      </c>
      <c r="V38">
        <f>SUM(N38:O38)/2</f>
        <v>0</v>
      </c>
    </row>
    <row r="39" spans="1:67" ht="21" x14ac:dyDescent="0.4">
      <c r="A39" s="3"/>
      <c r="B39" s="3"/>
      <c r="C39" s="10"/>
    </row>
    <row r="40" spans="1:67" ht="14.4" x14ac:dyDescent="0.25">
      <c r="A40" s="3"/>
      <c r="B40" s="3"/>
    </row>
  </sheetData>
  <mergeCells count="12">
    <mergeCell ref="N25:O25"/>
    <mergeCell ref="D4:E4"/>
    <mergeCell ref="F4:G4"/>
    <mergeCell ref="H4:I4"/>
    <mergeCell ref="J4:K4"/>
    <mergeCell ref="L4:M4"/>
    <mergeCell ref="N4:O4"/>
    <mergeCell ref="D25:E25"/>
    <mergeCell ref="F25:G25"/>
    <mergeCell ref="H25:I25"/>
    <mergeCell ref="J25:K25"/>
    <mergeCell ref="L25:M2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S40"/>
  <sheetViews>
    <sheetView topLeftCell="A6" zoomScale="80" zoomScaleNormal="80" workbookViewId="0">
      <selection activeCell="A32" activeCellId="3" sqref="A6:O6 A11:O11 A27:O27 A32:O32"/>
    </sheetView>
  </sheetViews>
  <sheetFormatPr defaultRowHeight="13.8" x14ac:dyDescent="0.25"/>
  <cols>
    <col min="62" max="62" width="25.8984375" bestFit="1" customWidth="1"/>
  </cols>
  <sheetData>
    <row r="1" spans="1:71" ht="21" x14ac:dyDescent="0.4">
      <c r="C1" s="11">
        <v>0.97</v>
      </c>
      <c r="D1" s="2"/>
      <c r="E1" s="2"/>
      <c r="F1" s="2"/>
      <c r="G1" s="2"/>
      <c r="H1" s="2"/>
      <c r="I1" s="2"/>
    </row>
    <row r="2" spans="1:71" x14ac:dyDescent="0.25">
      <c r="AU2" t="s">
        <v>32</v>
      </c>
      <c r="AV2" t="s">
        <v>33</v>
      </c>
      <c r="AW2" t="s">
        <v>34</v>
      </c>
      <c r="AX2" t="s">
        <v>35</v>
      </c>
      <c r="AY2" t="s">
        <v>36</v>
      </c>
      <c r="AZ2" t="s">
        <v>37</v>
      </c>
    </row>
    <row r="3" spans="1:71" ht="15" thickBot="1" x14ac:dyDescent="0.35">
      <c r="C3" s="2"/>
      <c r="D3" s="2"/>
      <c r="E3" s="2"/>
      <c r="F3" s="2"/>
      <c r="G3" s="2"/>
      <c r="H3" s="2"/>
      <c r="I3" s="2"/>
    </row>
    <row r="4" spans="1:71" ht="15" thickBot="1" x14ac:dyDescent="0.35">
      <c r="B4" s="18">
        <v>0.6875</v>
      </c>
      <c r="C4" s="3" t="s">
        <v>0</v>
      </c>
      <c r="D4" s="35">
        <v>1</v>
      </c>
      <c r="E4" s="34"/>
      <c r="F4" s="36">
        <v>2</v>
      </c>
      <c r="G4" s="37"/>
      <c r="H4" s="35">
        <v>3</v>
      </c>
      <c r="I4" s="34"/>
      <c r="J4" s="36">
        <v>4</v>
      </c>
      <c r="K4" s="37"/>
      <c r="L4" s="35">
        <v>5</v>
      </c>
      <c r="M4" s="34"/>
      <c r="N4" s="38">
        <v>6</v>
      </c>
      <c r="O4" s="39"/>
      <c r="Q4" s="4">
        <v>1</v>
      </c>
      <c r="R4" s="4">
        <v>2</v>
      </c>
      <c r="S4" s="4">
        <v>3</v>
      </c>
      <c r="T4" s="4">
        <v>4</v>
      </c>
      <c r="U4" s="4">
        <v>5</v>
      </c>
      <c r="V4" s="4">
        <v>6</v>
      </c>
    </row>
    <row r="5" spans="1:71" ht="14.4" x14ac:dyDescent="0.3">
      <c r="A5" s="3">
        <v>2</v>
      </c>
      <c r="B5" s="19">
        <v>19.5</v>
      </c>
      <c r="C5" s="3">
        <f>((24*A5)+(B5-16.5))/24</f>
        <v>2.125</v>
      </c>
      <c r="D5">
        <v>5</v>
      </c>
      <c r="E5" s="2">
        <v>5</v>
      </c>
      <c r="F5" s="2">
        <v>10</v>
      </c>
      <c r="G5" s="2">
        <v>10</v>
      </c>
      <c r="H5" s="2">
        <v>8</v>
      </c>
      <c r="I5" s="2">
        <v>10</v>
      </c>
      <c r="J5" s="2">
        <v>6</v>
      </c>
      <c r="K5" s="2">
        <v>12</v>
      </c>
      <c r="L5" s="2">
        <v>10</v>
      </c>
      <c r="M5" s="2">
        <v>8</v>
      </c>
      <c r="N5" s="2">
        <v>13</v>
      </c>
      <c r="O5" s="2">
        <v>6</v>
      </c>
      <c r="Q5">
        <f>SUM(D5:E5)/2</f>
        <v>5</v>
      </c>
      <c r="R5">
        <f>SUM(F5:G5)/2</f>
        <v>10</v>
      </c>
      <c r="S5">
        <f>SUM(H5:I5)/2</f>
        <v>9</v>
      </c>
      <c r="T5">
        <f>SUM(J5:K5)/2</f>
        <v>9</v>
      </c>
      <c r="U5">
        <f>SUM(L5:M5)/2</f>
        <v>9</v>
      </c>
      <c r="V5">
        <f>SUM(N5:O5)/2</f>
        <v>9.5</v>
      </c>
      <c r="BR5" s="17">
        <v>0.97</v>
      </c>
    </row>
    <row r="6" spans="1:71" ht="14.4" x14ac:dyDescent="0.3">
      <c r="A6" s="3">
        <v>4</v>
      </c>
      <c r="B6" s="3">
        <v>19.829999999999998</v>
      </c>
      <c r="C6" s="3">
        <f>((24*A6)+(B6-16.5))/24</f>
        <v>4.1387499999999999</v>
      </c>
      <c r="D6">
        <v>5</v>
      </c>
      <c r="E6" s="2">
        <v>5</v>
      </c>
      <c r="F6" s="2">
        <v>10</v>
      </c>
      <c r="G6" s="2">
        <v>10</v>
      </c>
      <c r="H6" s="2">
        <v>8</v>
      </c>
      <c r="I6" s="2">
        <v>10</v>
      </c>
      <c r="J6" s="2">
        <v>9</v>
      </c>
      <c r="K6" s="2">
        <v>12</v>
      </c>
      <c r="L6" s="2">
        <v>10</v>
      </c>
      <c r="M6" s="2">
        <v>8</v>
      </c>
      <c r="N6" s="2">
        <v>13</v>
      </c>
      <c r="O6" s="2">
        <v>6</v>
      </c>
      <c r="Q6">
        <f t="shared" ref="Q6:Q11" si="0">SUM(D6:E6)/2</f>
        <v>5</v>
      </c>
      <c r="R6">
        <f t="shared" ref="R6:R17" si="1">SUM(F6:G6)/2</f>
        <v>10</v>
      </c>
      <c r="S6">
        <f t="shared" ref="S6:S17" si="2">SUM(H6:I6)/2</f>
        <v>9</v>
      </c>
      <c r="T6">
        <f t="shared" ref="T6:T17" si="3">SUM(J6:K6)/2</f>
        <v>10.5</v>
      </c>
      <c r="U6">
        <f t="shared" ref="U6:U17" si="4">SUM(L6:M6)/2</f>
        <v>9</v>
      </c>
      <c r="V6">
        <f t="shared" ref="V6:V17" si="5">SUM(N6:O6)/2</f>
        <v>9.5</v>
      </c>
      <c r="BK6">
        <v>5</v>
      </c>
      <c r="BL6">
        <v>10</v>
      </c>
      <c r="BM6">
        <v>9</v>
      </c>
      <c r="BN6">
        <v>9</v>
      </c>
      <c r="BO6">
        <v>9</v>
      </c>
      <c r="BP6">
        <v>9.5</v>
      </c>
    </row>
    <row r="7" spans="1:71" ht="14.4" x14ac:dyDescent="0.3">
      <c r="A7" s="3">
        <v>6</v>
      </c>
      <c r="B7" s="3">
        <v>20.83</v>
      </c>
      <c r="C7" s="3">
        <f t="shared" ref="C7:C9" si="6">((24*A7)+(B7-16.5))/24</f>
        <v>6.180416666666666</v>
      </c>
      <c r="D7" s="23">
        <v>7</v>
      </c>
      <c r="E7" s="23">
        <v>7</v>
      </c>
      <c r="F7" s="23">
        <v>12</v>
      </c>
      <c r="G7" s="23">
        <v>11</v>
      </c>
      <c r="H7" s="23">
        <v>10</v>
      </c>
      <c r="I7" s="23">
        <v>12</v>
      </c>
      <c r="J7" s="23">
        <v>10</v>
      </c>
      <c r="K7" s="23">
        <v>14</v>
      </c>
      <c r="L7" s="23">
        <v>11</v>
      </c>
      <c r="M7" s="23">
        <v>9</v>
      </c>
      <c r="N7" s="23">
        <v>13</v>
      </c>
      <c r="O7" s="23">
        <v>9</v>
      </c>
      <c r="Q7">
        <f t="shared" si="0"/>
        <v>7</v>
      </c>
      <c r="R7">
        <f t="shared" si="1"/>
        <v>11.5</v>
      </c>
      <c r="S7">
        <f t="shared" si="2"/>
        <v>11</v>
      </c>
      <c r="T7">
        <f t="shared" si="3"/>
        <v>12</v>
      </c>
      <c r="U7">
        <f t="shared" si="4"/>
        <v>10</v>
      </c>
      <c r="V7">
        <f t="shared" si="5"/>
        <v>11</v>
      </c>
      <c r="BJ7" s="5" t="s">
        <v>3</v>
      </c>
      <c r="BK7" s="6">
        <v>1</v>
      </c>
      <c r="BL7" s="6">
        <v>2</v>
      </c>
      <c r="BM7" s="6">
        <v>3</v>
      </c>
      <c r="BN7" s="6">
        <v>4</v>
      </c>
      <c r="BO7" s="6">
        <v>5</v>
      </c>
      <c r="BP7" s="6">
        <v>6</v>
      </c>
      <c r="BR7" s="13" t="s">
        <v>4</v>
      </c>
      <c r="BS7" s="14" t="s">
        <v>5</v>
      </c>
    </row>
    <row r="8" spans="1:71" ht="14.4" x14ac:dyDescent="0.3">
      <c r="A8" s="3">
        <v>8</v>
      </c>
      <c r="B8" s="3">
        <v>17.5</v>
      </c>
      <c r="C8" s="3">
        <f t="shared" si="6"/>
        <v>8.0416666666666661</v>
      </c>
      <c r="D8" s="2">
        <v>12</v>
      </c>
      <c r="E8" s="2">
        <v>14</v>
      </c>
      <c r="F8" s="2">
        <v>16</v>
      </c>
      <c r="G8" s="2">
        <v>15</v>
      </c>
      <c r="H8" s="2">
        <v>14</v>
      </c>
      <c r="I8" s="2">
        <v>16</v>
      </c>
      <c r="J8" s="2">
        <v>13</v>
      </c>
      <c r="K8" s="2">
        <v>17</v>
      </c>
      <c r="L8" s="2">
        <v>14</v>
      </c>
      <c r="M8" s="2">
        <v>15</v>
      </c>
      <c r="N8" s="2">
        <v>17</v>
      </c>
      <c r="O8" s="2">
        <v>14</v>
      </c>
      <c r="Q8">
        <f t="shared" si="0"/>
        <v>13</v>
      </c>
      <c r="R8">
        <f t="shared" si="1"/>
        <v>15.5</v>
      </c>
      <c r="S8">
        <f t="shared" si="2"/>
        <v>15</v>
      </c>
      <c r="T8">
        <f t="shared" si="3"/>
        <v>15</v>
      </c>
      <c r="U8">
        <f t="shared" si="4"/>
        <v>14.5</v>
      </c>
      <c r="V8">
        <f t="shared" si="5"/>
        <v>15.5</v>
      </c>
      <c r="BJ8" s="6" t="s">
        <v>6</v>
      </c>
      <c r="BK8" s="8">
        <f>BM11</f>
        <v>2.9066000000000001</v>
      </c>
      <c r="BL8" s="8">
        <f>BM12</f>
        <v>2.7949000000000002</v>
      </c>
      <c r="BM8" s="8">
        <f>BM13</f>
        <v>3.0707</v>
      </c>
      <c r="BN8" s="8">
        <f>BM14</f>
        <v>3.0838999999999999</v>
      </c>
      <c r="BO8" s="9">
        <f>BM15</f>
        <v>2.6566000000000001</v>
      </c>
      <c r="BP8" s="8">
        <f>BM16</f>
        <v>2.9843000000000002</v>
      </c>
      <c r="BR8" s="15">
        <f>SUM(BK8:BP8)/6</f>
        <v>2.9161666666666668</v>
      </c>
      <c r="BS8" s="15">
        <f>_xlfn.STDEV.P(BK8:BP8)/SQRT(6)</f>
        <v>6.2099640662167832E-2</v>
      </c>
    </row>
    <row r="9" spans="1:71" ht="14.4" x14ac:dyDescent="0.3">
      <c r="A9" s="3">
        <v>10</v>
      </c>
      <c r="B9" s="3">
        <v>17.5</v>
      </c>
      <c r="C9" s="3">
        <f t="shared" si="6"/>
        <v>10.041666666666666</v>
      </c>
      <c r="D9" s="23">
        <v>18</v>
      </c>
      <c r="E9" s="23">
        <v>19</v>
      </c>
      <c r="F9" s="23">
        <v>23</v>
      </c>
      <c r="G9" s="23">
        <v>17</v>
      </c>
      <c r="H9" s="23">
        <v>20</v>
      </c>
      <c r="I9" s="23">
        <v>24</v>
      </c>
      <c r="J9" s="23">
        <v>19</v>
      </c>
      <c r="K9" s="23">
        <v>22</v>
      </c>
      <c r="L9" s="23">
        <v>17</v>
      </c>
      <c r="M9" s="23">
        <v>19</v>
      </c>
      <c r="N9" s="23">
        <v>22</v>
      </c>
      <c r="O9" s="23">
        <v>18</v>
      </c>
      <c r="Q9">
        <f t="shared" si="0"/>
        <v>18.5</v>
      </c>
      <c r="R9">
        <f t="shared" si="1"/>
        <v>20</v>
      </c>
      <c r="S9">
        <f t="shared" si="2"/>
        <v>22</v>
      </c>
      <c r="T9">
        <f t="shared" si="3"/>
        <v>20.5</v>
      </c>
      <c r="U9">
        <f t="shared" si="4"/>
        <v>18</v>
      </c>
      <c r="V9">
        <f t="shared" si="5"/>
        <v>20</v>
      </c>
      <c r="BJ9" s="6" t="s">
        <v>7</v>
      </c>
      <c r="BK9" s="8">
        <f xml:space="preserve"> (5+BO11)/BK8</f>
        <v>5.4059726140507802</v>
      </c>
      <c r="BL9" s="8">
        <f xml:space="preserve"> (10+BO12)/BL8</f>
        <v>5.9565637410998598</v>
      </c>
      <c r="BM9" s="8">
        <f xml:space="preserve"> (9+BO13)/BM8</f>
        <v>5.8048327742859929</v>
      </c>
      <c r="BN9" s="8">
        <f xml:space="preserve"> (9-BO14)/BN8</f>
        <v>1.7604332176789133</v>
      </c>
      <c r="BO9" s="8">
        <f xml:space="preserve"> (9+BO15)/BO8</f>
        <v>6.1003538357298801</v>
      </c>
      <c r="BP9" s="8">
        <f xml:space="preserve"> (9.5-BO16)/BP8</f>
        <v>2.0175250477498912</v>
      </c>
      <c r="BR9" s="15">
        <f>SUM(BK9:BP9)/6</f>
        <v>4.5076135384325529</v>
      </c>
      <c r="BS9" s="15">
        <f>_xlfn.STDEV.P(BK9:BP9)/SQRT(6)</f>
        <v>0.76146141518253796</v>
      </c>
    </row>
    <row r="10" spans="1:71" ht="14.4" x14ac:dyDescent="0.3">
      <c r="A10" s="3">
        <v>13</v>
      </c>
      <c r="B10" s="3">
        <v>12.83</v>
      </c>
      <c r="C10" s="3">
        <f>((24*A10)+(B10-16.5))/24</f>
        <v>12.847083333333332</v>
      </c>
      <c r="D10" s="2">
        <v>27</v>
      </c>
      <c r="E10" s="2">
        <v>26</v>
      </c>
      <c r="F10" s="2">
        <v>31</v>
      </c>
      <c r="G10" s="2">
        <v>29</v>
      </c>
      <c r="H10" s="2">
        <v>29</v>
      </c>
      <c r="I10" s="2">
        <v>31</v>
      </c>
      <c r="J10" s="2">
        <v>28</v>
      </c>
      <c r="K10" s="2">
        <v>30</v>
      </c>
      <c r="L10" s="2">
        <v>26</v>
      </c>
      <c r="M10" s="2">
        <v>26</v>
      </c>
      <c r="N10" s="2">
        <v>30</v>
      </c>
      <c r="O10" s="2">
        <v>25</v>
      </c>
      <c r="Q10">
        <f t="shared" si="0"/>
        <v>26.5</v>
      </c>
      <c r="R10">
        <f t="shared" si="1"/>
        <v>30</v>
      </c>
      <c r="S10">
        <f t="shared" si="2"/>
        <v>30</v>
      </c>
      <c r="T10">
        <f t="shared" si="3"/>
        <v>29</v>
      </c>
      <c r="U10">
        <f t="shared" si="4"/>
        <v>26</v>
      </c>
      <c r="V10">
        <f t="shared" si="5"/>
        <v>27.5</v>
      </c>
    </row>
    <row r="11" spans="1:71" ht="14.4" x14ac:dyDescent="0.3">
      <c r="A11" s="3">
        <v>15</v>
      </c>
      <c r="B11" s="3">
        <v>17.329999999999998</v>
      </c>
      <c r="C11" s="3">
        <f>((24*A11)+(B11-16.5))/24</f>
        <v>15.034583333333332</v>
      </c>
      <c r="D11" s="23">
        <v>32</v>
      </c>
      <c r="E11" s="23">
        <v>34</v>
      </c>
      <c r="F11" s="23">
        <v>37</v>
      </c>
      <c r="G11" s="23">
        <v>34</v>
      </c>
      <c r="H11" s="23">
        <v>36</v>
      </c>
      <c r="I11" s="23">
        <v>40</v>
      </c>
      <c r="J11" s="23">
        <v>34</v>
      </c>
      <c r="K11" s="23">
        <v>37</v>
      </c>
      <c r="L11" s="23">
        <v>34</v>
      </c>
      <c r="M11" s="23">
        <v>34</v>
      </c>
      <c r="N11" s="23">
        <v>36</v>
      </c>
      <c r="O11" s="23">
        <v>33</v>
      </c>
      <c r="Q11">
        <f t="shared" si="0"/>
        <v>33</v>
      </c>
      <c r="R11">
        <f t="shared" si="1"/>
        <v>35.5</v>
      </c>
      <c r="S11">
        <f t="shared" si="2"/>
        <v>38</v>
      </c>
      <c r="T11">
        <f t="shared" si="3"/>
        <v>35.5</v>
      </c>
      <c r="U11">
        <f t="shared" si="4"/>
        <v>34</v>
      </c>
      <c r="V11">
        <f t="shared" si="5"/>
        <v>34.5</v>
      </c>
      <c r="BJ11" t="s">
        <v>15</v>
      </c>
      <c r="BK11" t="s">
        <v>16</v>
      </c>
      <c r="BL11" t="s">
        <v>17</v>
      </c>
      <c r="BM11">
        <v>2.9066000000000001</v>
      </c>
      <c r="BN11" t="s">
        <v>18</v>
      </c>
      <c r="BO11">
        <v>10.712999999999999</v>
      </c>
    </row>
    <row r="12" spans="1:71" ht="14.4" x14ac:dyDescent="0.3">
      <c r="A12" s="3">
        <v>17</v>
      </c>
      <c r="B12" s="3">
        <v>17.5</v>
      </c>
      <c r="C12" s="3">
        <f>((24*A12)+(B12-16.5))/24</f>
        <v>17.041666666666668</v>
      </c>
      <c r="D12" s="40" t="s">
        <v>14</v>
      </c>
      <c r="E12" s="40"/>
      <c r="F12" s="40"/>
      <c r="G12" s="40"/>
      <c r="H12" s="40"/>
      <c r="I12" s="40"/>
      <c r="J12" s="40"/>
      <c r="K12" s="40"/>
      <c r="L12" s="40"/>
      <c r="M12" s="40"/>
      <c r="N12" s="2"/>
      <c r="O12" s="2"/>
      <c r="R12">
        <f t="shared" si="1"/>
        <v>0</v>
      </c>
      <c r="S12">
        <f t="shared" si="2"/>
        <v>0</v>
      </c>
      <c r="T12">
        <f t="shared" si="3"/>
        <v>0</v>
      </c>
      <c r="U12">
        <f t="shared" si="4"/>
        <v>0</v>
      </c>
      <c r="V12">
        <f t="shared" si="5"/>
        <v>0</v>
      </c>
      <c r="BJ12" t="s">
        <v>15</v>
      </c>
      <c r="BK12" t="s">
        <v>16</v>
      </c>
      <c r="BL12" t="s">
        <v>17</v>
      </c>
      <c r="BM12">
        <v>2.7949000000000002</v>
      </c>
      <c r="BN12" t="s">
        <v>18</v>
      </c>
      <c r="BO12">
        <v>6.6479999999999997</v>
      </c>
    </row>
    <row r="13" spans="1:71" ht="14.4" x14ac:dyDescent="0.3">
      <c r="A13" s="3"/>
      <c r="B13" s="3"/>
      <c r="C13" s="3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Q13">
        <f t="shared" ref="Q13" si="7">SUM(C13:E13)/2</f>
        <v>0</v>
      </c>
      <c r="R13">
        <f t="shared" si="1"/>
        <v>0</v>
      </c>
      <c r="S13">
        <f t="shared" si="2"/>
        <v>0</v>
      </c>
      <c r="T13">
        <f t="shared" si="3"/>
        <v>0</v>
      </c>
      <c r="U13">
        <f t="shared" si="4"/>
        <v>0</v>
      </c>
      <c r="V13">
        <f t="shared" si="5"/>
        <v>0</v>
      </c>
      <c r="BJ13" t="s">
        <v>15</v>
      </c>
      <c r="BK13" t="s">
        <v>16</v>
      </c>
      <c r="BL13" t="s">
        <v>17</v>
      </c>
      <c r="BM13">
        <v>3.0707</v>
      </c>
      <c r="BN13" t="s">
        <v>18</v>
      </c>
      <c r="BO13">
        <v>8.8248999999999995</v>
      </c>
    </row>
    <row r="14" spans="1:71" ht="14.4" x14ac:dyDescent="0.3">
      <c r="A14" s="3"/>
      <c r="B14" s="3"/>
      <c r="C14" s="3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Q14">
        <f t="shared" ref="Q14:Q17" si="8">SUM(D14:E14)/2</f>
        <v>0</v>
      </c>
      <c r="R14">
        <f t="shared" si="1"/>
        <v>0</v>
      </c>
      <c r="S14">
        <f t="shared" si="2"/>
        <v>0</v>
      </c>
      <c r="U14">
        <f t="shared" si="4"/>
        <v>0</v>
      </c>
      <c r="V14">
        <f t="shared" si="5"/>
        <v>0</v>
      </c>
      <c r="BJ14" t="s">
        <v>15</v>
      </c>
      <c r="BK14" t="s">
        <v>16</v>
      </c>
      <c r="BL14" t="s">
        <v>17</v>
      </c>
      <c r="BM14">
        <v>3.0838999999999999</v>
      </c>
      <c r="BN14" t="s">
        <v>25</v>
      </c>
      <c r="BO14">
        <v>3.5710000000000002</v>
      </c>
    </row>
    <row r="15" spans="1:71" ht="14.4" x14ac:dyDescent="0.3">
      <c r="A15" s="3"/>
      <c r="B15" s="3"/>
      <c r="C15" s="3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Q15">
        <f t="shared" si="8"/>
        <v>0</v>
      </c>
      <c r="R15">
        <f t="shared" si="1"/>
        <v>0</v>
      </c>
      <c r="S15">
        <f t="shared" si="2"/>
        <v>0</v>
      </c>
      <c r="U15">
        <f t="shared" si="4"/>
        <v>0</v>
      </c>
      <c r="V15">
        <f t="shared" si="5"/>
        <v>0</v>
      </c>
      <c r="BJ15" t="s">
        <v>15</v>
      </c>
      <c r="BK15" t="s">
        <v>16</v>
      </c>
      <c r="BL15" t="s">
        <v>17</v>
      </c>
      <c r="BM15">
        <v>2.6566000000000001</v>
      </c>
      <c r="BN15" t="s">
        <v>18</v>
      </c>
      <c r="BO15">
        <v>7.2061999999999999</v>
      </c>
    </row>
    <row r="16" spans="1:71" ht="14.4" x14ac:dyDescent="0.3">
      <c r="A16" s="3"/>
      <c r="B16" s="3"/>
      <c r="C16" s="3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Q16">
        <f t="shared" si="8"/>
        <v>0</v>
      </c>
      <c r="R16">
        <f t="shared" si="1"/>
        <v>0</v>
      </c>
      <c r="S16">
        <f t="shared" si="2"/>
        <v>0</v>
      </c>
      <c r="T16">
        <f t="shared" si="3"/>
        <v>0</v>
      </c>
      <c r="U16">
        <f t="shared" si="4"/>
        <v>0</v>
      </c>
      <c r="V16">
        <f t="shared" si="5"/>
        <v>0</v>
      </c>
      <c r="BJ16" t="s">
        <v>15</v>
      </c>
      <c r="BK16" t="s">
        <v>16</v>
      </c>
      <c r="BL16" t="s">
        <v>17</v>
      </c>
      <c r="BM16">
        <v>2.9843000000000002</v>
      </c>
      <c r="BN16" t="s">
        <v>25</v>
      </c>
      <c r="BO16">
        <v>3.4790999999999999</v>
      </c>
    </row>
    <row r="17" spans="1:71" ht="14.4" x14ac:dyDescent="0.3">
      <c r="A17" s="3"/>
      <c r="B17" s="3"/>
      <c r="C17" s="3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Q17">
        <f t="shared" si="8"/>
        <v>0</v>
      </c>
      <c r="R17">
        <f t="shared" si="1"/>
        <v>0</v>
      </c>
      <c r="S17">
        <f t="shared" si="2"/>
        <v>0</v>
      </c>
      <c r="T17">
        <f t="shared" si="3"/>
        <v>0</v>
      </c>
      <c r="U17">
        <f t="shared" si="4"/>
        <v>0</v>
      </c>
      <c r="V17">
        <f t="shared" si="5"/>
        <v>0</v>
      </c>
    </row>
    <row r="18" spans="1:71" ht="21" x14ac:dyDescent="0.4">
      <c r="A18" s="3"/>
      <c r="B18" s="3"/>
      <c r="C18" s="10"/>
    </row>
    <row r="19" spans="1:71" ht="14.4" x14ac:dyDescent="0.25">
      <c r="A19" s="3"/>
      <c r="B19" s="3"/>
    </row>
    <row r="23" spans="1:71" ht="21" x14ac:dyDescent="0.4">
      <c r="C23" s="11">
        <v>0.99</v>
      </c>
    </row>
    <row r="24" spans="1:71" ht="14.4" thickBot="1" x14ac:dyDescent="0.3">
      <c r="BR24" s="17">
        <v>0.99</v>
      </c>
    </row>
    <row r="25" spans="1:71" ht="15" thickBot="1" x14ac:dyDescent="0.35">
      <c r="C25" s="3" t="s">
        <v>0</v>
      </c>
      <c r="D25" s="35">
        <v>1</v>
      </c>
      <c r="E25" s="34"/>
      <c r="F25" s="35">
        <v>2</v>
      </c>
      <c r="G25" s="34"/>
      <c r="H25" s="35">
        <v>3</v>
      </c>
      <c r="I25" s="34"/>
      <c r="J25" s="35">
        <v>4</v>
      </c>
      <c r="K25" s="34"/>
      <c r="L25" s="35">
        <v>5</v>
      </c>
      <c r="M25" s="34"/>
      <c r="N25" s="33">
        <v>6</v>
      </c>
      <c r="O25" s="34"/>
      <c r="Q25" s="4">
        <v>1</v>
      </c>
      <c r="R25" s="4">
        <v>2</v>
      </c>
      <c r="S25" s="4">
        <v>3</v>
      </c>
      <c r="T25" s="4">
        <v>4</v>
      </c>
      <c r="U25" s="4">
        <v>5</v>
      </c>
      <c r="V25" s="4">
        <v>6</v>
      </c>
      <c r="BK25">
        <v>8</v>
      </c>
      <c r="BL25">
        <v>7.5</v>
      </c>
      <c r="BM25">
        <v>8.5</v>
      </c>
      <c r="BN25">
        <v>9.5</v>
      </c>
      <c r="BO25">
        <v>9.5</v>
      </c>
      <c r="BP25">
        <v>14</v>
      </c>
    </row>
    <row r="26" spans="1:71" ht="14.4" x14ac:dyDescent="0.3">
      <c r="A26" s="3">
        <v>2</v>
      </c>
      <c r="B26" s="19">
        <v>19.5</v>
      </c>
      <c r="C26" s="3">
        <f>((24*A26)+(B26-16.5))/24</f>
        <v>2.125</v>
      </c>
      <c r="D26" s="2">
        <v>7</v>
      </c>
      <c r="E26" s="2">
        <v>9</v>
      </c>
      <c r="F26" s="2">
        <v>7</v>
      </c>
      <c r="G26" s="2">
        <v>8</v>
      </c>
      <c r="H26" s="2">
        <v>9</v>
      </c>
      <c r="I26" s="2">
        <v>8</v>
      </c>
      <c r="J26" s="2">
        <v>13</v>
      </c>
      <c r="K26" s="2">
        <v>6</v>
      </c>
      <c r="L26" s="2">
        <v>9</v>
      </c>
      <c r="M26" s="2">
        <v>10</v>
      </c>
      <c r="N26" s="2">
        <v>15</v>
      </c>
      <c r="O26" s="2">
        <v>13</v>
      </c>
      <c r="Q26">
        <f>SUM(D26:E26)/2</f>
        <v>8</v>
      </c>
      <c r="R26">
        <f>SUM(F26:G26)/2</f>
        <v>7.5</v>
      </c>
      <c r="S26">
        <f>SUM(H26:I26)/2</f>
        <v>8.5</v>
      </c>
      <c r="T26">
        <f>SUM(J26:K26)/2</f>
        <v>9.5</v>
      </c>
      <c r="U26">
        <f>SUM(L26:M26)/2</f>
        <v>9.5</v>
      </c>
      <c r="V26">
        <f>SUM(N26:O26)/2</f>
        <v>14</v>
      </c>
      <c r="BJ26" s="5" t="s">
        <v>3</v>
      </c>
      <c r="BK26" s="6">
        <v>1</v>
      </c>
      <c r="BL26" s="6">
        <v>2</v>
      </c>
      <c r="BM26" s="6">
        <v>3</v>
      </c>
      <c r="BN26" s="6">
        <v>4</v>
      </c>
      <c r="BO26" s="6">
        <v>5</v>
      </c>
      <c r="BP26" s="6">
        <v>6</v>
      </c>
      <c r="BR26" s="13" t="s">
        <v>4</v>
      </c>
      <c r="BS26" s="14" t="s">
        <v>5</v>
      </c>
    </row>
    <row r="27" spans="1:71" ht="14.4" x14ac:dyDescent="0.3">
      <c r="A27" s="3">
        <v>4</v>
      </c>
      <c r="B27" s="3">
        <v>19.829999999999998</v>
      </c>
      <c r="C27" s="3">
        <f t="shared" ref="C27:C34" si="9">((24*A27)+(B27-16.5))/24</f>
        <v>4.1387499999999999</v>
      </c>
      <c r="D27" s="2">
        <v>14</v>
      </c>
      <c r="E27" s="2">
        <v>15</v>
      </c>
      <c r="F27" s="2">
        <v>10</v>
      </c>
      <c r="G27" s="2">
        <v>11</v>
      </c>
      <c r="H27" s="2">
        <v>13</v>
      </c>
      <c r="I27" s="2">
        <v>13</v>
      </c>
      <c r="J27" s="2">
        <v>17</v>
      </c>
      <c r="K27" s="2">
        <v>13</v>
      </c>
      <c r="L27" s="2">
        <v>15</v>
      </c>
      <c r="M27" s="2">
        <v>15</v>
      </c>
      <c r="N27" s="2">
        <v>18</v>
      </c>
      <c r="O27" s="2">
        <v>17</v>
      </c>
      <c r="Q27">
        <f t="shared" ref="Q27:Q38" si="10">SUM(D27:E27)/2</f>
        <v>14.5</v>
      </c>
      <c r="R27">
        <f t="shared" ref="R27:R38" si="11">SUM(F27:G27)/2</f>
        <v>10.5</v>
      </c>
      <c r="S27">
        <f t="shared" ref="S27:S38" si="12">SUM(H27:I27)/2</f>
        <v>13</v>
      </c>
      <c r="T27">
        <f t="shared" ref="T27:T38" si="13">SUM(J27:K27)/2</f>
        <v>15</v>
      </c>
      <c r="U27">
        <f t="shared" ref="U27:U38" si="14">SUM(L27:M27)/2</f>
        <v>15</v>
      </c>
      <c r="V27">
        <f t="shared" ref="V27:V34" si="15">SUM(N27:O27)/2</f>
        <v>17.5</v>
      </c>
      <c r="BJ27" s="6" t="s">
        <v>6</v>
      </c>
      <c r="BK27" s="8">
        <f>BM30</f>
        <v>4.7747999999999999</v>
      </c>
      <c r="BL27" s="8">
        <f>BM31</f>
        <v>4.9987000000000004</v>
      </c>
      <c r="BM27" s="8">
        <f>BM32</f>
        <v>4.8155000000000001</v>
      </c>
      <c r="BN27" s="8">
        <f>BM33</f>
        <v>4.9644000000000004</v>
      </c>
      <c r="BO27" s="9">
        <f>BM34</f>
        <v>4.8026</v>
      </c>
      <c r="BP27" s="8">
        <f>BM35</f>
        <v>4.7431000000000001</v>
      </c>
      <c r="BR27" s="15">
        <f>SUM(BK27:BP27)/6</f>
        <v>4.84985</v>
      </c>
      <c r="BS27" s="15">
        <f>_xlfn.STDEV.P(BK27:BP27)/SQRT(6)</f>
        <v>3.9341303924049713E-2</v>
      </c>
    </row>
    <row r="28" spans="1:71" ht="14.4" x14ac:dyDescent="0.3">
      <c r="A28" s="3">
        <v>6</v>
      </c>
      <c r="B28" s="3">
        <v>20.83</v>
      </c>
      <c r="C28" s="3">
        <f t="shared" si="9"/>
        <v>6.180416666666666</v>
      </c>
      <c r="D28" s="23">
        <v>21</v>
      </c>
      <c r="E28" s="23">
        <v>22</v>
      </c>
      <c r="F28" s="23">
        <v>20</v>
      </c>
      <c r="G28" s="23">
        <v>19</v>
      </c>
      <c r="H28" s="23">
        <v>22</v>
      </c>
      <c r="I28" s="23">
        <v>23</v>
      </c>
      <c r="J28" s="23">
        <v>26</v>
      </c>
      <c r="K28" s="23">
        <v>20</v>
      </c>
      <c r="L28" s="23">
        <v>25</v>
      </c>
      <c r="M28" s="23">
        <v>23</v>
      </c>
      <c r="N28" s="23">
        <v>22</v>
      </c>
      <c r="O28" s="23">
        <v>21</v>
      </c>
      <c r="Q28">
        <f t="shared" si="10"/>
        <v>21.5</v>
      </c>
      <c r="R28">
        <f t="shared" si="11"/>
        <v>19.5</v>
      </c>
      <c r="S28">
        <f t="shared" si="12"/>
        <v>22.5</v>
      </c>
      <c r="T28">
        <f t="shared" si="13"/>
        <v>23</v>
      </c>
      <c r="U28">
        <f t="shared" si="14"/>
        <v>24</v>
      </c>
      <c r="V28">
        <f t="shared" si="15"/>
        <v>21.5</v>
      </c>
      <c r="BJ28" s="6" t="s">
        <v>7</v>
      </c>
      <c r="BK28" s="8">
        <f xml:space="preserve"> (8+BO30)/BK27</f>
        <v>3.1672740219485633</v>
      </c>
      <c r="BL28" s="8">
        <f xml:space="preserve"> (7.5+BO31)/BL27</f>
        <v>3.7971872686898593</v>
      </c>
      <c r="BM28" s="8">
        <f xml:space="preserve"> (8.5+BO32)/BM27</f>
        <v>3.3687467552694423</v>
      </c>
      <c r="BN28" s="8">
        <f xml:space="preserve"> (9.5+BO33)/BN27</f>
        <v>3.6297034888405446</v>
      </c>
      <c r="BO28" s="8">
        <f xml:space="preserve"> (9.5+BO34)/BO27</f>
        <v>3.4635405821846499</v>
      </c>
      <c r="BP28" s="8">
        <f xml:space="preserve"> (10+BO35)/BP27</f>
        <v>3.8747443654993567</v>
      </c>
      <c r="BR28" s="15">
        <f>SUM(BK28:BP28)/6</f>
        <v>3.5501994137387363</v>
      </c>
      <c r="BS28" s="15">
        <f>_xlfn.STDEV.P(BK28:BP28)/SQRT(6)</f>
        <v>9.9961103573396326E-2</v>
      </c>
    </row>
    <row r="29" spans="1:71" ht="14.4" x14ac:dyDescent="0.3">
      <c r="A29" s="3">
        <v>8</v>
      </c>
      <c r="B29" s="3">
        <v>17.5</v>
      </c>
      <c r="C29" s="3">
        <f>((24*A29)+(B29-16.5))/24</f>
        <v>8.0416666666666661</v>
      </c>
      <c r="D29" s="2">
        <v>30</v>
      </c>
      <c r="E29" s="2">
        <v>32</v>
      </c>
      <c r="F29" s="2">
        <v>29</v>
      </c>
      <c r="G29" s="2">
        <v>29</v>
      </c>
      <c r="H29" s="2">
        <v>31</v>
      </c>
      <c r="I29" s="2">
        <v>30</v>
      </c>
      <c r="J29" s="2">
        <v>27</v>
      </c>
      <c r="K29" s="2">
        <v>24</v>
      </c>
      <c r="L29" s="2">
        <v>30</v>
      </c>
      <c r="M29" s="2">
        <v>25</v>
      </c>
      <c r="N29" s="2">
        <v>26</v>
      </c>
      <c r="O29" s="2">
        <v>28</v>
      </c>
      <c r="Q29">
        <f t="shared" si="10"/>
        <v>31</v>
      </c>
      <c r="R29">
        <f t="shared" si="11"/>
        <v>29</v>
      </c>
      <c r="S29">
        <f t="shared" si="12"/>
        <v>30.5</v>
      </c>
      <c r="T29">
        <f t="shared" si="13"/>
        <v>25.5</v>
      </c>
      <c r="U29">
        <f t="shared" si="14"/>
        <v>27.5</v>
      </c>
      <c r="V29">
        <f t="shared" si="15"/>
        <v>27</v>
      </c>
    </row>
    <row r="30" spans="1:71" ht="14.4" x14ac:dyDescent="0.3">
      <c r="A30" s="3">
        <v>10</v>
      </c>
      <c r="B30" s="3">
        <v>17.5</v>
      </c>
      <c r="C30" s="3">
        <f t="shared" si="9"/>
        <v>10.041666666666666</v>
      </c>
      <c r="D30" s="23">
        <v>40</v>
      </c>
      <c r="E30" s="23">
        <v>41</v>
      </c>
      <c r="F30" s="23">
        <v>37</v>
      </c>
      <c r="G30" s="23">
        <v>38</v>
      </c>
      <c r="H30" s="23">
        <v>41</v>
      </c>
      <c r="I30" s="23">
        <v>40</v>
      </c>
      <c r="J30" s="23">
        <v>45</v>
      </c>
      <c r="K30" s="23">
        <v>39</v>
      </c>
      <c r="L30" s="23">
        <v>41</v>
      </c>
      <c r="M30" s="23">
        <v>41</v>
      </c>
      <c r="N30" s="23">
        <v>35</v>
      </c>
      <c r="O30" s="23">
        <v>36</v>
      </c>
      <c r="Q30">
        <f t="shared" si="10"/>
        <v>40.5</v>
      </c>
      <c r="R30">
        <f t="shared" si="11"/>
        <v>37.5</v>
      </c>
      <c r="S30">
        <f t="shared" si="12"/>
        <v>40.5</v>
      </c>
      <c r="T30">
        <f t="shared" si="13"/>
        <v>42</v>
      </c>
      <c r="U30">
        <f t="shared" si="14"/>
        <v>41</v>
      </c>
      <c r="V30">
        <f t="shared" si="15"/>
        <v>35.5</v>
      </c>
      <c r="BJ30" t="s">
        <v>15</v>
      </c>
      <c r="BK30" t="s">
        <v>16</v>
      </c>
      <c r="BL30" t="s">
        <v>17</v>
      </c>
      <c r="BM30">
        <v>4.7747999999999999</v>
      </c>
      <c r="BN30" t="s">
        <v>18</v>
      </c>
      <c r="BO30">
        <v>7.1231</v>
      </c>
    </row>
    <row r="31" spans="1:71" ht="14.4" x14ac:dyDescent="0.3">
      <c r="A31" s="3">
        <v>13</v>
      </c>
      <c r="B31" s="3">
        <v>12.83</v>
      </c>
      <c r="C31" s="3">
        <f t="shared" si="9"/>
        <v>12.847083333333332</v>
      </c>
      <c r="D31" s="2">
        <v>53</v>
      </c>
      <c r="E31" s="2">
        <v>55</v>
      </c>
      <c r="F31" s="2">
        <v>52</v>
      </c>
      <c r="G31" s="2">
        <v>51</v>
      </c>
      <c r="H31" s="2">
        <v>54</v>
      </c>
      <c r="I31" s="2">
        <v>54</v>
      </c>
      <c r="J31" s="2">
        <v>57</v>
      </c>
      <c r="K31" s="2">
        <v>53</v>
      </c>
      <c r="L31" s="2">
        <v>55</v>
      </c>
      <c r="M31" s="2">
        <v>53</v>
      </c>
      <c r="N31" s="2">
        <v>50</v>
      </c>
      <c r="O31" s="2">
        <v>47</v>
      </c>
      <c r="Q31">
        <f t="shared" si="10"/>
        <v>54</v>
      </c>
      <c r="R31">
        <f t="shared" si="11"/>
        <v>51.5</v>
      </c>
      <c r="S31">
        <f t="shared" si="12"/>
        <v>54</v>
      </c>
      <c r="T31">
        <f t="shared" si="13"/>
        <v>55</v>
      </c>
      <c r="U31">
        <f t="shared" si="14"/>
        <v>54</v>
      </c>
      <c r="V31">
        <f t="shared" si="15"/>
        <v>48.5</v>
      </c>
      <c r="BJ31" t="s">
        <v>15</v>
      </c>
      <c r="BK31" t="s">
        <v>16</v>
      </c>
      <c r="BL31" t="s">
        <v>17</v>
      </c>
      <c r="BM31">
        <v>4.9987000000000004</v>
      </c>
      <c r="BN31" t="s">
        <v>18</v>
      </c>
      <c r="BO31">
        <v>11.481</v>
      </c>
    </row>
    <row r="32" spans="1:71" ht="14.4" x14ac:dyDescent="0.3">
      <c r="A32" s="3">
        <v>15</v>
      </c>
      <c r="B32" s="3">
        <v>17.329999999999998</v>
      </c>
      <c r="C32" s="3">
        <f t="shared" si="9"/>
        <v>15.034583333333332</v>
      </c>
      <c r="D32" s="23">
        <v>62</v>
      </c>
      <c r="E32" s="23">
        <v>65</v>
      </c>
      <c r="F32" s="23">
        <v>63</v>
      </c>
      <c r="G32" s="23">
        <v>64</v>
      </c>
      <c r="H32" s="23">
        <v>62</v>
      </c>
      <c r="I32" s="23">
        <v>64</v>
      </c>
      <c r="J32" s="23">
        <v>70</v>
      </c>
      <c r="K32" s="23">
        <v>64</v>
      </c>
      <c r="L32" s="23">
        <v>65</v>
      </c>
      <c r="M32" s="23">
        <v>64</v>
      </c>
      <c r="N32" s="23">
        <v>57</v>
      </c>
      <c r="O32" s="23">
        <v>62</v>
      </c>
      <c r="Q32">
        <f t="shared" si="10"/>
        <v>63.5</v>
      </c>
      <c r="R32">
        <f t="shared" si="11"/>
        <v>63.5</v>
      </c>
      <c r="S32">
        <f t="shared" si="12"/>
        <v>63</v>
      </c>
      <c r="T32">
        <f t="shared" si="13"/>
        <v>67</v>
      </c>
      <c r="U32">
        <f t="shared" si="14"/>
        <v>64.5</v>
      </c>
      <c r="V32">
        <f t="shared" si="15"/>
        <v>59.5</v>
      </c>
      <c r="BJ32" t="s">
        <v>15</v>
      </c>
      <c r="BK32" t="s">
        <v>16</v>
      </c>
      <c r="BL32" t="s">
        <v>17</v>
      </c>
      <c r="BM32">
        <v>4.8155000000000001</v>
      </c>
      <c r="BN32" t="s">
        <v>18</v>
      </c>
      <c r="BO32">
        <v>7.7222</v>
      </c>
    </row>
    <row r="33" spans="1:67" ht="14.4" x14ac:dyDescent="0.3">
      <c r="A33" s="3">
        <v>17</v>
      </c>
      <c r="B33" s="3">
        <v>17.5</v>
      </c>
      <c r="C33" s="3">
        <f t="shared" si="9"/>
        <v>17.041666666666668</v>
      </c>
      <c r="D33" s="2">
        <v>72</v>
      </c>
      <c r="E33" s="2">
        <v>74</v>
      </c>
      <c r="F33" s="2">
        <v>73</v>
      </c>
      <c r="G33" s="2">
        <v>72</v>
      </c>
      <c r="H33" s="2">
        <v>73</v>
      </c>
      <c r="I33" s="2">
        <v>74</v>
      </c>
      <c r="J33" s="2">
        <v>80</v>
      </c>
      <c r="K33" s="2">
        <v>74</v>
      </c>
      <c r="L33" s="2">
        <v>74</v>
      </c>
      <c r="M33" s="2">
        <v>75</v>
      </c>
      <c r="N33" s="2">
        <v>75</v>
      </c>
      <c r="O33" s="2">
        <v>76</v>
      </c>
      <c r="Q33">
        <f t="shared" si="10"/>
        <v>73</v>
      </c>
      <c r="R33">
        <f t="shared" si="11"/>
        <v>72.5</v>
      </c>
      <c r="S33">
        <f t="shared" si="12"/>
        <v>73.5</v>
      </c>
      <c r="T33">
        <f t="shared" si="13"/>
        <v>77</v>
      </c>
      <c r="U33">
        <f t="shared" si="14"/>
        <v>74.5</v>
      </c>
      <c r="V33">
        <f t="shared" si="15"/>
        <v>75.5</v>
      </c>
      <c r="BJ33" t="s">
        <v>15</v>
      </c>
      <c r="BK33" t="s">
        <v>16</v>
      </c>
      <c r="BL33" t="s">
        <v>17</v>
      </c>
      <c r="BM33">
        <v>4.9644000000000004</v>
      </c>
      <c r="BN33" t="s">
        <v>18</v>
      </c>
      <c r="BO33">
        <v>8.5192999999999994</v>
      </c>
    </row>
    <row r="34" spans="1:67" ht="14.4" x14ac:dyDescent="0.3">
      <c r="A34" s="3">
        <v>20</v>
      </c>
      <c r="B34" s="3">
        <v>13.33</v>
      </c>
      <c r="C34" s="3">
        <f t="shared" si="9"/>
        <v>19.867916666666666</v>
      </c>
      <c r="D34" s="2">
        <v>90</v>
      </c>
      <c r="E34" s="2">
        <v>90</v>
      </c>
      <c r="F34" s="2">
        <v>90</v>
      </c>
      <c r="G34" s="2">
        <v>90</v>
      </c>
      <c r="H34" s="2">
        <v>90</v>
      </c>
      <c r="I34" s="2">
        <v>90</v>
      </c>
      <c r="J34" s="2">
        <v>90</v>
      </c>
      <c r="K34" s="2">
        <v>90</v>
      </c>
      <c r="L34" s="2">
        <v>90</v>
      </c>
      <c r="M34" s="2">
        <v>90</v>
      </c>
      <c r="N34" s="2">
        <v>90</v>
      </c>
      <c r="O34" s="2">
        <v>90</v>
      </c>
      <c r="Q34">
        <f t="shared" si="10"/>
        <v>90</v>
      </c>
      <c r="R34">
        <f t="shared" si="11"/>
        <v>90</v>
      </c>
      <c r="S34">
        <f t="shared" si="12"/>
        <v>90</v>
      </c>
      <c r="T34">
        <f t="shared" si="13"/>
        <v>90</v>
      </c>
      <c r="U34">
        <f t="shared" si="14"/>
        <v>90</v>
      </c>
      <c r="V34">
        <f t="shared" si="15"/>
        <v>90</v>
      </c>
      <c r="BJ34" t="s">
        <v>15</v>
      </c>
      <c r="BK34" t="s">
        <v>16</v>
      </c>
      <c r="BL34" t="s">
        <v>17</v>
      </c>
      <c r="BM34">
        <v>4.8026</v>
      </c>
      <c r="BN34" t="s">
        <v>18</v>
      </c>
      <c r="BO34">
        <v>7.1340000000000003</v>
      </c>
    </row>
    <row r="35" spans="1:67" ht="14.4" x14ac:dyDescent="0.3">
      <c r="A35" s="3"/>
      <c r="B35" s="3"/>
      <c r="C35" s="3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Q35">
        <f t="shared" si="10"/>
        <v>0</v>
      </c>
      <c r="R35">
        <f t="shared" si="11"/>
        <v>0</v>
      </c>
      <c r="S35">
        <f t="shared" si="12"/>
        <v>0</v>
      </c>
      <c r="T35">
        <f t="shared" si="13"/>
        <v>0</v>
      </c>
      <c r="U35">
        <f t="shared" si="14"/>
        <v>0</v>
      </c>
      <c r="V35">
        <f t="shared" ref="V35:V36" si="16">SUM(N35:O35)/2</f>
        <v>0</v>
      </c>
      <c r="BJ35" t="s">
        <v>15</v>
      </c>
      <c r="BK35" t="s">
        <v>16</v>
      </c>
      <c r="BL35" t="s">
        <v>17</v>
      </c>
      <c r="BM35">
        <v>4.7431000000000001</v>
      </c>
      <c r="BN35" t="s">
        <v>18</v>
      </c>
      <c r="BO35">
        <v>8.3782999999999994</v>
      </c>
    </row>
    <row r="36" spans="1:67" ht="14.4" x14ac:dyDescent="0.3">
      <c r="A36" s="3"/>
      <c r="B36" s="3"/>
      <c r="C36" s="3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Q36">
        <f t="shared" si="10"/>
        <v>0</v>
      </c>
      <c r="R36">
        <f t="shared" si="11"/>
        <v>0</v>
      </c>
      <c r="S36">
        <f t="shared" si="12"/>
        <v>0</v>
      </c>
      <c r="T36">
        <f t="shared" si="13"/>
        <v>0</v>
      </c>
      <c r="U36">
        <f t="shared" si="14"/>
        <v>0</v>
      </c>
      <c r="V36">
        <f t="shared" si="16"/>
        <v>0</v>
      </c>
    </row>
    <row r="37" spans="1:67" ht="14.4" x14ac:dyDescent="0.3">
      <c r="A37" s="3"/>
      <c r="B37" s="3"/>
      <c r="C37" s="3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Q37">
        <f t="shared" si="10"/>
        <v>0</v>
      </c>
      <c r="R37">
        <f t="shared" si="11"/>
        <v>0</v>
      </c>
      <c r="S37">
        <f t="shared" si="12"/>
        <v>0</v>
      </c>
      <c r="T37">
        <f t="shared" si="13"/>
        <v>0</v>
      </c>
      <c r="U37">
        <f t="shared" si="14"/>
        <v>0</v>
      </c>
      <c r="V37">
        <f>SUM(N37:O37)/2</f>
        <v>0</v>
      </c>
    </row>
    <row r="38" spans="1:67" ht="14.4" x14ac:dyDescent="0.3">
      <c r="A38" s="3"/>
      <c r="B38" s="3"/>
      <c r="C38" s="3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Q38">
        <f t="shared" si="10"/>
        <v>0</v>
      </c>
      <c r="R38">
        <f t="shared" si="11"/>
        <v>0</v>
      </c>
      <c r="S38">
        <f t="shared" si="12"/>
        <v>0</v>
      </c>
      <c r="T38">
        <f t="shared" si="13"/>
        <v>0</v>
      </c>
      <c r="U38">
        <f t="shared" si="14"/>
        <v>0</v>
      </c>
      <c r="V38">
        <f>SUM(N38:O38)/2</f>
        <v>0</v>
      </c>
    </row>
    <row r="39" spans="1:67" ht="21" x14ac:dyDescent="0.4">
      <c r="A39" s="3"/>
      <c r="B39" s="3"/>
      <c r="C39" s="10"/>
    </row>
    <row r="40" spans="1:67" ht="14.4" x14ac:dyDescent="0.25">
      <c r="A40" s="3"/>
      <c r="B40" s="3"/>
    </row>
  </sheetData>
  <mergeCells count="13">
    <mergeCell ref="N25:O25"/>
    <mergeCell ref="D4:E4"/>
    <mergeCell ref="F4:G4"/>
    <mergeCell ref="H4:I4"/>
    <mergeCell ref="J4:K4"/>
    <mergeCell ref="L4:M4"/>
    <mergeCell ref="N4:O4"/>
    <mergeCell ref="D25:E25"/>
    <mergeCell ref="F25:G25"/>
    <mergeCell ref="H25:I25"/>
    <mergeCell ref="J25:K25"/>
    <mergeCell ref="L25:M25"/>
    <mergeCell ref="D12:M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S40"/>
  <sheetViews>
    <sheetView zoomScale="80" zoomScaleNormal="80" workbookViewId="0">
      <selection activeCell="BK28" sqref="BK28:BP29"/>
    </sheetView>
  </sheetViews>
  <sheetFormatPr defaultRowHeight="13.8" x14ac:dyDescent="0.25"/>
  <cols>
    <col min="2" max="2" width="14.8984375" customWidth="1"/>
    <col min="62" max="62" width="25.8984375" bestFit="1" customWidth="1"/>
  </cols>
  <sheetData>
    <row r="1" spans="1:71" ht="21" x14ac:dyDescent="0.4">
      <c r="C1" s="11">
        <v>0.97</v>
      </c>
      <c r="D1" s="2"/>
      <c r="E1" s="2"/>
      <c r="F1" s="2"/>
      <c r="G1" s="2"/>
      <c r="H1" s="2"/>
      <c r="I1" s="2"/>
    </row>
    <row r="3" spans="1:71" ht="15" thickBot="1" x14ac:dyDescent="0.35">
      <c r="C3" s="2"/>
      <c r="D3" s="2"/>
      <c r="E3" s="2"/>
      <c r="F3" s="2"/>
      <c r="G3" s="2"/>
      <c r="H3" s="2"/>
      <c r="I3" s="2"/>
    </row>
    <row r="4" spans="1:71" ht="15" thickBot="1" x14ac:dyDescent="0.35">
      <c r="B4" s="12">
        <v>0.54166666666666663</v>
      </c>
      <c r="C4" s="3" t="s">
        <v>0</v>
      </c>
      <c r="D4" s="35">
        <v>1</v>
      </c>
      <c r="E4" s="34"/>
      <c r="F4" s="36">
        <v>2</v>
      </c>
      <c r="G4" s="37"/>
      <c r="H4" s="35">
        <v>3</v>
      </c>
      <c r="I4" s="34"/>
      <c r="J4" s="36">
        <v>4</v>
      </c>
      <c r="K4" s="37"/>
      <c r="L4" s="35">
        <v>5</v>
      </c>
      <c r="M4" s="34"/>
      <c r="N4" s="38">
        <v>6</v>
      </c>
      <c r="O4" s="39"/>
      <c r="Q4" s="4">
        <v>1</v>
      </c>
      <c r="R4" s="4">
        <v>2</v>
      </c>
      <c r="S4" s="4">
        <v>3</v>
      </c>
      <c r="T4" s="4">
        <v>4</v>
      </c>
      <c r="U4" s="4">
        <v>5</v>
      </c>
      <c r="V4" s="4">
        <v>6</v>
      </c>
    </row>
    <row r="5" spans="1:71" ht="14.4" x14ac:dyDescent="0.3">
      <c r="A5" s="3">
        <v>2</v>
      </c>
      <c r="B5" s="19">
        <v>18.75</v>
      </c>
      <c r="C5" s="3">
        <f>((24*A5)+(B5-13))/24</f>
        <v>2.2395833333333335</v>
      </c>
      <c r="D5" s="2">
        <v>11</v>
      </c>
      <c r="E5" s="2">
        <v>9</v>
      </c>
      <c r="F5" s="2">
        <v>8</v>
      </c>
      <c r="G5" s="2">
        <v>9</v>
      </c>
      <c r="H5" s="2">
        <v>8</v>
      </c>
      <c r="I5" s="2">
        <v>8</v>
      </c>
      <c r="J5" s="2">
        <v>11</v>
      </c>
      <c r="K5" s="2">
        <v>9</v>
      </c>
      <c r="L5" s="2">
        <v>7</v>
      </c>
      <c r="M5" s="2">
        <v>12</v>
      </c>
      <c r="N5" s="2">
        <v>7</v>
      </c>
      <c r="O5" s="2">
        <v>9</v>
      </c>
      <c r="Q5">
        <f>SUM(D5:E5)/2</f>
        <v>10</v>
      </c>
      <c r="R5">
        <f>SUM(F5:G5)/2</f>
        <v>8.5</v>
      </c>
      <c r="S5">
        <f>SUM(H5:I5)/2</f>
        <v>8</v>
      </c>
      <c r="T5">
        <f>SUM(J5:K5)/2</f>
        <v>10</v>
      </c>
      <c r="U5">
        <f>SUM(L5:M5)/2</f>
        <v>9.5</v>
      </c>
      <c r="V5">
        <f>SUM(N5:O5)/2</f>
        <v>8</v>
      </c>
      <c r="BR5" s="17">
        <v>0.97</v>
      </c>
    </row>
    <row r="6" spans="1:71" ht="14.4" x14ac:dyDescent="0.3">
      <c r="A6" s="3">
        <v>4</v>
      </c>
      <c r="B6" s="3">
        <v>19.5</v>
      </c>
      <c r="C6" s="3">
        <f t="shared" ref="C6:C13" si="0">((24*A6)+(B6-13))/24</f>
        <v>4.270833333333333</v>
      </c>
      <c r="D6" s="2">
        <v>17</v>
      </c>
      <c r="E6" s="2">
        <v>15</v>
      </c>
      <c r="F6" s="2">
        <v>17</v>
      </c>
      <c r="G6" s="2">
        <v>19</v>
      </c>
      <c r="H6" s="2">
        <v>14</v>
      </c>
      <c r="I6" s="2">
        <v>14</v>
      </c>
      <c r="J6" s="2">
        <v>21</v>
      </c>
      <c r="K6" s="2">
        <v>15</v>
      </c>
      <c r="L6" s="2">
        <v>15</v>
      </c>
      <c r="M6" s="2">
        <v>17</v>
      </c>
      <c r="N6" s="2">
        <v>25</v>
      </c>
      <c r="O6" s="2">
        <v>17</v>
      </c>
      <c r="Q6">
        <f t="shared" ref="Q6:Q17" si="1">SUM(D6:E6)/2</f>
        <v>16</v>
      </c>
      <c r="R6">
        <f t="shared" ref="R6:R17" si="2">SUM(F6:G6)/2</f>
        <v>18</v>
      </c>
      <c r="S6">
        <f t="shared" ref="S6:S17" si="3">SUM(H6:I6)/2</f>
        <v>14</v>
      </c>
      <c r="T6">
        <f t="shared" ref="T6:T17" si="4">SUM(J6:K6)/2</f>
        <v>18</v>
      </c>
      <c r="U6">
        <f t="shared" ref="U6:U17" si="5">SUM(L6:M6)/2</f>
        <v>16</v>
      </c>
      <c r="V6">
        <f t="shared" ref="V6:V17" si="6">SUM(N6:O6)/2</f>
        <v>21</v>
      </c>
      <c r="BK6">
        <v>10</v>
      </c>
      <c r="BL6">
        <v>8.5</v>
      </c>
      <c r="BM6">
        <v>8</v>
      </c>
      <c r="BN6">
        <v>10</v>
      </c>
      <c r="BO6">
        <v>9.5</v>
      </c>
      <c r="BP6">
        <v>8</v>
      </c>
    </row>
    <row r="7" spans="1:71" ht="14.4" x14ac:dyDescent="0.3">
      <c r="A7" s="3">
        <v>5</v>
      </c>
      <c r="B7" s="3">
        <v>20.16</v>
      </c>
      <c r="C7" s="3">
        <f>((24*A7)+(B7-13))/24</f>
        <v>5.2983333333333329</v>
      </c>
      <c r="D7" s="2">
        <v>21</v>
      </c>
      <c r="E7" s="2">
        <v>20</v>
      </c>
      <c r="F7" s="2">
        <v>20</v>
      </c>
      <c r="G7" s="2">
        <v>26</v>
      </c>
      <c r="H7" s="2">
        <v>21</v>
      </c>
      <c r="I7" s="2">
        <v>19</v>
      </c>
      <c r="J7" s="2">
        <v>31</v>
      </c>
      <c r="K7" s="2">
        <v>20</v>
      </c>
      <c r="L7" s="2">
        <v>20</v>
      </c>
      <c r="M7" s="2">
        <v>26</v>
      </c>
      <c r="N7" s="2">
        <v>21</v>
      </c>
      <c r="O7" s="2">
        <v>22</v>
      </c>
      <c r="Q7">
        <f t="shared" si="1"/>
        <v>20.5</v>
      </c>
      <c r="R7">
        <f t="shared" si="2"/>
        <v>23</v>
      </c>
      <c r="S7">
        <f t="shared" si="3"/>
        <v>20</v>
      </c>
      <c r="T7">
        <f t="shared" si="4"/>
        <v>25.5</v>
      </c>
      <c r="U7">
        <f t="shared" si="5"/>
        <v>23</v>
      </c>
      <c r="V7">
        <f t="shared" si="6"/>
        <v>21.5</v>
      </c>
      <c r="BJ7" s="5" t="s">
        <v>3</v>
      </c>
      <c r="BK7" s="6">
        <v>1</v>
      </c>
      <c r="BL7" s="6">
        <v>2</v>
      </c>
      <c r="BM7" s="6">
        <v>3</v>
      </c>
      <c r="BN7" s="6">
        <v>4</v>
      </c>
      <c r="BO7" s="6">
        <v>5</v>
      </c>
      <c r="BP7" s="6">
        <v>6</v>
      </c>
      <c r="BR7" s="13" t="s">
        <v>4</v>
      </c>
      <c r="BS7" s="14" t="s">
        <v>5</v>
      </c>
    </row>
    <row r="8" spans="1:71" ht="14.4" x14ac:dyDescent="0.3">
      <c r="A8" s="3">
        <v>6</v>
      </c>
      <c r="B8" s="3">
        <v>20.5</v>
      </c>
      <c r="C8" s="3">
        <f t="shared" si="0"/>
        <v>6.3125</v>
      </c>
      <c r="D8" s="2">
        <v>27</v>
      </c>
      <c r="E8" s="2">
        <v>25</v>
      </c>
      <c r="F8" s="2">
        <v>26</v>
      </c>
      <c r="G8" s="2">
        <v>31</v>
      </c>
      <c r="H8" s="2">
        <v>26</v>
      </c>
      <c r="I8" s="2">
        <v>25</v>
      </c>
      <c r="J8" s="2">
        <v>36</v>
      </c>
      <c r="K8" s="2">
        <v>26</v>
      </c>
      <c r="L8" s="2">
        <v>27</v>
      </c>
      <c r="M8" s="2">
        <v>31</v>
      </c>
      <c r="N8" s="2">
        <v>26</v>
      </c>
      <c r="O8" s="2">
        <v>27</v>
      </c>
      <c r="Q8">
        <f t="shared" si="1"/>
        <v>26</v>
      </c>
      <c r="R8">
        <f t="shared" si="2"/>
        <v>28.5</v>
      </c>
      <c r="S8">
        <f t="shared" si="3"/>
        <v>25.5</v>
      </c>
      <c r="T8">
        <f t="shared" si="4"/>
        <v>31</v>
      </c>
      <c r="U8">
        <f t="shared" si="5"/>
        <v>29</v>
      </c>
      <c r="V8">
        <f t="shared" si="6"/>
        <v>26.5</v>
      </c>
      <c r="BJ8" s="6" t="s">
        <v>6</v>
      </c>
      <c r="BK8" s="8">
        <f>BM11</f>
        <v>3.8567</v>
      </c>
      <c r="BL8" s="8">
        <f>BM12</f>
        <v>4.8800999999999997</v>
      </c>
      <c r="BM8" s="8">
        <f>BM13</f>
        <v>4.2779999999999996</v>
      </c>
      <c r="BN8" s="8">
        <f>BM14</f>
        <v>5.2038000000000002</v>
      </c>
      <c r="BO8" s="9">
        <f>BM15</f>
        <v>4.7831000000000001</v>
      </c>
      <c r="BP8" s="8">
        <f>BM16</f>
        <v>4.4010999999999996</v>
      </c>
      <c r="BR8" s="15">
        <f>SUM(BK8:BP8)/6</f>
        <v>4.5671333333333335</v>
      </c>
      <c r="BS8" s="15">
        <f>_xlfn.STDEV.P(BK8:BP8)/SQRT(6)</f>
        <v>0.17995484413020379</v>
      </c>
    </row>
    <row r="9" spans="1:71" ht="14.4" x14ac:dyDescent="0.3">
      <c r="A9" s="3">
        <v>7</v>
      </c>
      <c r="B9" s="3"/>
      <c r="C9" s="3">
        <f t="shared" si="0"/>
        <v>6.458333333333333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Q9">
        <f t="shared" si="1"/>
        <v>0</v>
      </c>
      <c r="R9">
        <f t="shared" si="2"/>
        <v>0</v>
      </c>
      <c r="S9">
        <f t="shared" si="3"/>
        <v>0</v>
      </c>
      <c r="T9">
        <f t="shared" si="4"/>
        <v>0</v>
      </c>
      <c r="U9">
        <f t="shared" si="5"/>
        <v>0</v>
      </c>
      <c r="V9">
        <f t="shared" si="6"/>
        <v>0</v>
      </c>
      <c r="BJ9" s="6" t="s">
        <v>7</v>
      </c>
      <c r="BK9" s="8">
        <f xml:space="preserve"> (10-BO11)/BK8</f>
        <v>2.4236264163663237</v>
      </c>
      <c r="BL9" s="8">
        <f xml:space="preserve"> (8.5+BO12)/BL8</f>
        <v>2.2762238478719699</v>
      </c>
      <c r="BM9" s="8">
        <f xml:space="preserve"> (8+BO13)/BM8</f>
        <v>2.4557269752220665</v>
      </c>
      <c r="BN9" s="8">
        <f xml:space="preserve"> (10+BO14)/BN8</f>
        <v>2.3924247665167759</v>
      </c>
      <c r="BO9" s="8">
        <f xml:space="preserve"> (9.5+BO15)/BO8</f>
        <v>2.4657439735736237</v>
      </c>
      <c r="BP9" s="8">
        <f xml:space="preserve"> (8+BO16)/BP8</f>
        <v>1.9741201063370524</v>
      </c>
      <c r="BR9" s="15">
        <f>SUM(BK9:BP9)/6</f>
        <v>2.3313110143146352</v>
      </c>
      <c r="BS9" s="15">
        <f>_xlfn.STDEV.P(BK9:BP9)/SQRT(6)</f>
        <v>7.0005657842057048E-2</v>
      </c>
    </row>
    <row r="10" spans="1:71" ht="14.4" x14ac:dyDescent="0.3">
      <c r="A10" s="3">
        <v>8</v>
      </c>
      <c r="B10" s="3"/>
      <c r="C10" s="3">
        <f t="shared" si="0"/>
        <v>7.458333333333333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Q10">
        <f t="shared" si="1"/>
        <v>0</v>
      </c>
      <c r="R10">
        <f t="shared" si="2"/>
        <v>0</v>
      </c>
      <c r="S10">
        <f t="shared" si="3"/>
        <v>0</v>
      </c>
      <c r="T10">
        <f t="shared" si="4"/>
        <v>0</v>
      </c>
      <c r="U10">
        <f t="shared" si="5"/>
        <v>0</v>
      </c>
      <c r="V10">
        <f t="shared" si="6"/>
        <v>0</v>
      </c>
    </row>
    <row r="11" spans="1:71" ht="14.4" x14ac:dyDescent="0.3">
      <c r="A11" s="3">
        <v>10</v>
      </c>
      <c r="B11" s="3"/>
      <c r="C11" s="3">
        <f t="shared" si="0"/>
        <v>9.4583333333333339</v>
      </c>
      <c r="D11" s="2"/>
      <c r="E11" s="41" t="s">
        <v>14</v>
      </c>
      <c r="F11" s="41"/>
      <c r="G11" s="41"/>
      <c r="H11" s="41"/>
      <c r="I11" s="41"/>
      <c r="J11" s="41"/>
      <c r="K11" s="41"/>
      <c r="L11" s="2"/>
      <c r="M11" s="2"/>
      <c r="N11" s="2"/>
      <c r="O11" s="2"/>
      <c r="Q11">
        <f t="shared" si="1"/>
        <v>0</v>
      </c>
      <c r="R11">
        <f t="shared" si="2"/>
        <v>0</v>
      </c>
      <c r="S11">
        <f t="shared" si="3"/>
        <v>0</v>
      </c>
      <c r="T11">
        <f t="shared" si="4"/>
        <v>0</v>
      </c>
      <c r="U11">
        <f t="shared" si="5"/>
        <v>0</v>
      </c>
      <c r="V11">
        <f t="shared" si="6"/>
        <v>0</v>
      </c>
      <c r="BJ11" t="s">
        <v>15</v>
      </c>
      <c r="BK11" t="s">
        <v>16</v>
      </c>
      <c r="BL11" t="s">
        <v>17</v>
      </c>
      <c r="BM11">
        <v>3.8567</v>
      </c>
      <c r="BN11" t="s">
        <v>25</v>
      </c>
      <c r="BO11">
        <v>0.65280000000000005</v>
      </c>
    </row>
    <row r="12" spans="1:71" ht="14.4" x14ac:dyDescent="0.3">
      <c r="A12" s="3">
        <v>13</v>
      </c>
      <c r="B12" s="3"/>
      <c r="C12" s="3">
        <f t="shared" si="0"/>
        <v>12.458333333333334</v>
      </c>
      <c r="D12" s="2"/>
      <c r="E12" s="41"/>
      <c r="F12" s="41"/>
      <c r="G12" s="41"/>
      <c r="H12" s="41"/>
      <c r="I12" s="41"/>
      <c r="J12" s="41"/>
      <c r="K12" s="41"/>
      <c r="L12" s="2"/>
      <c r="M12" s="2"/>
      <c r="N12" s="2"/>
      <c r="O12" s="2"/>
      <c r="Q12">
        <f t="shared" si="1"/>
        <v>0</v>
      </c>
      <c r="R12">
        <f t="shared" si="2"/>
        <v>0</v>
      </c>
      <c r="S12">
        <f t="shared" si="3"/>
        <v>0</v>
      </c>
      <c r="T12">
        <f t="shared" si="4"/>
        <v>0</v>
      </c>
      <c r="U12">
        <f t="shared" si="5"/>
        <v>0</v>
      </c>
      <c r="V12">
        <f t="shared" si="6"/>
        <v>0</v>
      </c>
      <c r="BJ12" t="s">
        <v>15</v>
      </c>
      <c r="BK12" t="s">
        <v>16</v>
      </c>
      <c r="BL12" t="s">
        <v>17</v>
      </c>
      <c r="BM12">
        <v>4.8800999999999997</v>
      </c>
      <c r="BN12" t="s">
        <v>18</v>
      </c>
      <c r="BO12">
        <v>2.6082000000000001</v>
      </c>
    </row>
    <row r="13" spans="1:71" ht="14.4" x14ac:dyDescent="0.3">
      <c r="A13" s="3">
        <v>15</v>
      </c>
      <c r="B13" s="3"/>
      <c r="C13" s="3">
        <f t="shared" si="0"/>
        <v>14.458333333333334</v>
      </c>
      <c r="D13" s="2"/>
      <c r="E13" s="41"/>
      <c r="F13" s="41"/>
      <c r="G13" s="41"/>
      <c r="H13" s="41"/>
      <c r="I13" s="41"/>
      <c r="J13" s="41"/>
      <c r="K13" s="41"/>
      <c r="L13" s="2"/>
      <c r="M13" s="2"/>
      <c r="N13" s="2"/>
      <c r="O13" s="2"/>
      <c r="Q13">
        <f t="shared" si="1"/>
        <v>0</v>
      </c>
      <c r="R13">
        <f t="shared" si="2"/>
        <v>0</v>
      </c>
      <c r="S13">
        <f t="shared" si="3"/>
        <v>0</v>
      </c>
      <c r="T13">
        <f t="shared" si="4"/>
        <v>0</v>
      </c>
      <c r="U13">
        <f t="shared" si="5"/>
        <v>0</v>
      </c>
      <c r="V13">
        <f t="shared" si="6"/>
        <v>0</v>
      </c>
      <c r="BJ13" t="s">
        <v>15</v>
      </c>
      <c r="BK13" t="s">
        <v>16</v>
      </c>
      <c r="BL13" t="s">
        <v>17</v>
      </c>
      <c r="BM13">
        <v>4.2779999999999996</v>
      </c>
      <c r="BN13" t="s">
        <v>18</v>
      </c>
      <c r="BO13">
        <v>2.5055999999999998</v>
      </c>
    </row>
    <row r="14" spans="1:71" ht="14.4" x14ac:dyDescent="0.3">
      <c r="A14" s="3"/>
      <c r="B14" s="3"/>
      <c r="C14" s="3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Q14">
        <f t="shared" si="1"/>
        <v>0</v>
      </c>
      <c r="R14">
        <f t="shared" si="2"/>
        <v>0</v>
      </c>
      <c r="S14">
        <f t="shared" si="3"/>
        <v>0</v>
      </c>
      <c r="U14">
        <f t="shared" si="5"/>
        <v>0</v>
      </c>
      <c r="V14">
        <f t="shared" si="6"/>
        <v>0</v>
      </c>
      <c r="BJ14" t="s">
        <v>15</v>
      </c>
      <c r="BK14" t="s">
        <v>16</v>
      </c>
      <c r="BL14" t="s">
        <v>17</v>
      </c>
      <c r="BM14">
        <v>5.2038000000000002</v>
      </c>
      <c r="BN14" t="s">
        <v>18</v>
      </c>
      <c r="BO14">
        <v>2.4497</v>
      </c>
    </row>
    <row r="15" spans="1:71" ht="14.4" x14ac:dyDescent="0.3">
      <c r="A15" s="3"/>
      <c r="B15" s="3"/>
      <c r="C15" s="3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Q15">
        <f t="shared" si="1"/>
        <v>0</v>
      </c>
      <c r="R15">
        <f t="shared" si="2"/>
        <v>0</v>
      </c>
      <c r="S15">
        <f t="shared" si="3"/>
        <v>0</v>
      </c>
      <c r="U15">
        <f t="shared" si="5"/>
        <v>0</v>
      </c>
      <c r="V15">
        <f t="shared" si="6"/>
        <v>0</v>
      </c>
      <c r="BJ15" t="s">
        <v>15</v>
      </c>
      <c r="BK15" t="s">
        <v>16</v>
      </c>
      <c r="BL15" t="s">
        <v>17</v>
      </c>
      <c r="BM15">
        <v>4.7831000000000001</v>
      </c>
      <c r="BN15" t="s">
        <v>18</v>
      </c>
      <c r="BO15">
        <v>2.2938999999999998</v>
      </c>
    </row>
    <row r="16" spans="1:71" ht="14.4" x14ac:dyDescent="0.3">
      <c r="A16" s="3"/>
      <c r="B16" s="3"/>
      <c r="C16" s="3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Q16">
        <f t="shared" si="1"/>
        <v>0</v>
      </c>
      <c r="R16">
        <f t="shared" si="2"/>
        <v>0</v>
      </c>
      <c r="S16">
        <f t="shared" si="3"/>
        <v>0</v>
      </c>
      <c r="T16">
        <f t="shared" si="4"/>
        <v>0</v>
      </c>
      <c r="U16">
        <f t="shared" si="5"/>
        <v>0</v>
      </c>
      <c r="V16">
        <f t="shared" si="6"/>
        <v>0</v>
      </c>
      <c r="BJ16" t="s">
        <v>15</v>
      </c>
      <c r="BK16" t="s">
        <v>16</v>
      </c>
      <c r="BL16" t="s">
        <v>17</v>
      </c>
      <c r="BM16">
        <v>4.4010999999999996</v>
      </c>
      <c r="BN16" t="s">
        <v>18</v>
      </c>
      <c r="BO16">
        <v>0.68830000000000002</v>
      </c>
    </row>
    <row r="17" spans="1:71" ht="14.4" x14ac:dyDescent="0.3">
      <c r="A17" s="3"/>
      <c r="B17" s="3"/>
      <c r="C17" s="3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Q17">
        <f t="shared" si="1"/>
        <v>0</v>
      </c>
      <c r="R17">
        <f t="shared" si="2"/>
        <v>0</v>
      </c>
      <c r="S17">
        <f t="shared" si="3"/>
        <v>0</v>
      </c>
      <c r="T17">
        <f t="shared" si="4"/>
        <v>0</v>
      </c>
      <c r="U17">
        <f t="shared" si="5"/>
        <v>0</v>
      </c>
      <c r="V17">
        <f t="shared" si="6"/>
        <v>0</v>
      </c>
    </row>
    <row r="18" spans="1:71" ht="21" x14ac:dyDescent="0.4">
      <c r="A18" s="3"/>
      <c r="B18" s="3"/>
      <c r="C18" s="10"/>
    </row>
    <row r="19" spans="1:71" ht="14.4" x14ac:dyDescent="0.25">
      <c r="A19" s="3"/>
      <c r="B19" s="3"/>
    </row>
    <row r="22" spans="1:71" x14ac:dyDescent="0.25">
      <c r="AV22" t="s">
        <v>26</v>
      </c>
      <c r="AX22" t="s">
        <v>27</v>
      </c>
      <c r="AY22" t="s">
        <v>28</v>
      </c>
      <c r="AZ22" t="s">
        <v>29</v>
      </c>
      <c r="BA22" t="s">
        <v>30</v>
      </c>
      <c r="BB22" t="s">
        <v>31</v>
      </c>
    </row>
    <row r="23" spans="1:71" ht="21" x14ac:dyDescent="0.4">
      <c r="C23" s="11">
        <v>0.99</v>
      </c>
    </row>
    <row r="24" spans="1:71" ht="14.4" thickBot="1" x14ac:dyDescent="0.3"/>
    <row r="25" spans="1:71" ht="15" thickBot="1" x14ac:dyDescent="0.35">
      <c r="B25" s="12">
        <v>0.54166666666666663</v>
      </c>
      <c r="C25" s="3" t="s">
        <v>0</v>
      </c>
      <c r="D25" s="35">
        <v>1</v>
      </c>
      <c r="E25" s="34"/>
      <c r="F25" s="35">
        <v>2</v>
      </c>
      <c r="G25" s="34"/>
      <c r="H25" s="35">
        <v>3</v>
      </c>
      <c r="I25" s="34"/>
      <c r="J25" s="35">
        <v>4</v>
      </c>
      <c r="K25" s="34"/>
      <c r="L25" s="35">
        <v>5</v>
      </c>
      <c r="M25" s="34"/>
      <c r="N25" s="33">
        <v>6</v>
      </c>
      <c r="O25" s="34"/>
      <c r="Q25" s="4">
        <v>1</v>
      </c>
      <c r="R25" s="4">
        <v>2</v>
      </c>
      <c r="S25" s="4">
        <v>3</v>
      </c>
      <c r="T25" s="4">
        <v>4</v>
      </c>
      <c r="U25" s="4">
        <v>5</v>
      </c>
      <c r="V25" s="4">
        <v>6</v>
      </c>
      <c r="BR25" s="17">
        <v>0.99</v>
      </c>
    </row>
    <row r="26" spans="1:71" ht="14.4" x14ac:dyDescent="0.3">
      <c r="A26" s="3">
        <v>2</v>
      </c>
      <c r="B26" s="19">
        <v>18.75</v>
      </c>
      <c r="C26" s="3">
        <f>((24*A26)+(B26-13))/24</f>
        <v>2.2395833333333335</v>
      </c>
      <c r="D26" s="2">
        <v>14</v>
      </c>
      <c r="E26" s="2">
        <v>15</v>
      </c>
      <c r="F26" s="2">
        <v>14</v>
      </c>
      <c r="G26" s="2">
        <v>13</v>
      </c>
      <c r="H26" s="2">
        <v>14</v>
      </c>
      <c r="I26" s="2">
        <v>16</v>
      </c>
      <c r="J26" s="2">
        <v>15</v>
      </c>
      <c r="K26" s="2">
        <v>17</v>
      </c>
      <c r="L26" s="2">
        <v>20</v>
      </c>
      <c r="M26" s="2">
        <v>15</v>
      </c>
      <c r="N26" s="2">
        <v>18</v>
      </c>
      <c r="O26" s="2">
        <v>14</v>
      </c>
      <c r="Q26">
        <f>SUM(D26:E26)/2</f>
        <v>14.5</v>
      </c>
      <c r="R26">
        <f>SUM(F26:G26)/2</f>
        <v>13.5</v>
      </c>
      <c r="S26">
        <f>SUM(H26:I26)/2</f>
        <v>15</v>
      </c>
      <c r="T26">
        <f>SUM(J26:K26)/2</f>
        <v>16</v>
      </c>
      <c r="U26">
        <f>SUM(L26:M26)/2</f>
        <v>17.5</v>
      </c>
      <c r="V26">
        <f>SUM(N26:O26)/2</f>
        <v>16</v>
      </c>
    </row>
    <row r="27" spans="1:71" ht="14.4" x14ac:dyDescent="0.3">
      <c r="A27" s="3">
        <v>4</v>
      </c>
      <c r="B27" s="3">
        <v>19.5</v>
      </c>
      <c r="C27" s="3">
        <f t="shared" ref="C27:C32" si="7">((24*A27)+(B27-13))/24</f>
        <v>4.270833333333333</v>
      </c>
      <c r="D27" s="2">
        <v>31</v>
      </c>
      <c r="E27" s="2">
        <v>32</v>
      </c>
      <c r="F27" s="2">
        <v>32</v>
      </c>
      <c r="G27" s="2">
        <v>30</v>
      </c>
      <c r="H27" s="2">
        <v>30</v>
      </c>
      <c r="I27" s="2">
        <v>31</v>
      </c>
      <c r="J27" s="2">
        <v>31</v>
      </c>
      <c r="K27" s="2">
        <v>35</v>
      </c>
      <c r="L27" s="2">
        <v>32</v>
      </c>
      <c r="M27" s="2">
        <v>31</v>
      </c>
      <c r="N27" s="2">
        <v>35</v>
      </c>
      <c r="O27" s="2">
        <v>33</v>
      </c>
      <c r="Q27">
        <f t="shared" ref="Q27:Q38" si="8">SUM(D27:E27)/2</f>
        <v>31.5</v>
      </c>
      <c r="R27">
        <f t="shared" ref="R27:R38" si="9">SUM(F27:G27)/2</f>
        <v>31</v>
      </c>
      <c r="S27">
        <f t="shared" ref="S27:S38" si="10">SUM(H27:I27)/2</f>
        <v>30.5</v>
      </c>
      <c r="T27">
        <f t="shared" ref="T27:T38" si="11">SUM(J27:K27)/2</f>
        <v>33</v>
      </c>
      <c r="U27">
        <f t="shared" ref="U27:U38" si="12">SUM(L27:M27)/2</f>
        <v>31.5</v>
      </c>
      <c r="V27">
        <f t="shared" ref="V27:V36" si="13">SUM(N27:O27)/2</f>
        <v>34</v>
      </c>
      <c r="BJ27" s="5" t="s">
        <v>3</v>
      </c>
      <c r="BK27" s="6">
        <v>1</v>
      </c>
      <c r="BL27" s="6">
        <v>2</v>
      </c>
      <c r="BM27" s="6">
        <v>3</v>
      </c>
      <c r="BN27" s="6">
        <v>4</v>
      </c>
      <c r="BO27" s="6">
        <v>5</v>
      </c>
      <c r="BP27" s="6">
        <v>6</v>
      </c>
      <c r="BR27" s="13" t="s">
        <v>4</v>
      </c>
      <c r="BS27" s="14" t="s">
        <v>5</v>
      </c>
    </row>
    <row r="28" spans="1:71" ht="14.4" x14ac:dyDescent="0.3">
      <c r="A28" s="3">
        <v>5</v>
      </c>
      <c r="B28" s="3">
        <v>20.16</v>
      </c>
      <c r="C28" s="3">
        <f>((24*A28)+(B28-13))/24</f>
        <v>5.2983333333333329</v>
      </c>
      <c r="D28" s="2">
        <v>40</v>
      </c>
      <c r="E28" s="2">
        <v>40</v>
      </c>
      <c r="F28" s="2">
        <v>40</v>
      </c>
      <c r="G28" s="2">
        <v>38</v>
      </c>
      <c r="H28" s="2">
        <v>40</v>
      </c>
      <c r="I28" s="2">
        <v>43</v>
      </c>
      <c r="J28" s="2">
        <v>41</v>
      </c>
      <c r="K28" s="2">
        <v>42</v>
      </c>
      <c r="L28" s="2">
        <v>39</v>
      </c>
      <c r="M28" s="2">
        <v>40</v>
      </c>
      <c r="N28" s="2">
        <v>43</v>
      </c>
      <c r="O28" s="2">
        <v>40</v>
      </c>
      <c r="Q28">
        <f t="shared" si="8"/>
        <v>40</v>
      </c>
      <c r="R28">
        <f t="shared" si="9"/>
        <v>39</v>
      </c>
      <c r="S28">
        <f t="shared" si="10"/>
        <v>41.5</v>
      </c>
      <c r="T28">
        <f t="shared" si="11"/>
        <v>41.5</v>
      </c>
      <c r="U28">
        <f t="shared" si="12"/>
        <v>39.5</v>
      </c>
      <c r="V28">
        <f t="shared" si="13"/>
        <v>41.5</v>
      </c>
      <c r="BJ28" s="6" t="s">
        <v>6</v>
      </c>
      <c r="BK28" s="8">
        <f>BM31</f>
        <v>7.1117999999999997</v>
      </c>
      <c r="BL28" s="8">
        <f>BM32</f>
        <v>7.0777999999999999</v>
      </c>
      <c r="BM28" s="8">
        <f>BM33</f>
        <v>7.1037999999999997</v>
      </c>
      <c r="BN28" s="8">
        <f>BM34</f>
        <v>7.1661999999999999</v>
      </c>
      <c r="BO28" s="9">
        <f>BM35</f>
        <v>6.9938000000000002</v>
      </c>
      <c r="BP28" s="8">
        <f>BM36</f>
        <v>6.9771999999999998</v>
      </c>
      <c r="BR28" s="15">
        <f>SUM(BK28:BP28)/6</f>
        <v>7.0717666666666661</v>
      </c>
      <c r="BS28" s="15">
        <f>_xlfn.STDEV.P(BK28:BP28)/SQRT(6)</f>
        <v>2.7184816704536693E-2</v>
      </c>
    </row>
    <row r="29" spans="1:71" ht="14.4" x14ac:dyDescent="0.3">
      <c r="A29" s="3">
        <v>6</v>
      </c>
      <c r="B29" s="3">
        <v>20.5</v>
      </c>
      <c r="C29" s="3">
        <f t="shared" si="7"/>
        <v>6.3125</v>
      </c>
      <c r="D29" s="2">
        <v>48</v>
      </c>
      <c r="E29" s="2">
        <v>47</v>
      </c>
      <c r="F29" s="2">
        <v>48</v>
      </c>
      <c r="G29" s="2">
        <v>46</v>
      </c>
      <c r="H29" s="2">
        <v>47</v>
      </c>
      <c r="I29" s="2">
        <v>49</v>
      </c>
      <c r="J29" s="2">
        <v>50</v>
      </c>
      <c r="K29" s="2">
        <v>52</v>
      </c>
      <c r="L29" s="2">
        <v>47</v>
      </c>
      <c r="M29" s="2">
        <v>48</v>
      </c>
      <c r="N29" s="2">
        <v>51</v>
      </c>
      <c r="O29" s="2">
        <v>50</v>
      </c>
      <c r="Q29">
        <f t="shared" si="8"/>
        <v>47.5</v>
      </c>
      <c r="R29">
        <f t="shared" si="9"/>
        <v>47</v>
      </c>
      <c r="S29">
        <f t="shared" si="10"/>
        <v>48</v>
      </c>
      <c r="T29">
        <f t="shared" si="11"/>
        <v>51</v>
      </c>
      <c r="U29">
        <f t="shared" si="12"/>
        <v>47.5</v>
      </c>
      <c r="V29">
        <f t="shared" si="13"/>
        <v>50.5</v>
      </c>
      <c r="BJ29" s="6" t="s">
        <v>7</v>
      </c>
      <c r="BK29" s="8">
        <f xml:space="preserve"> (10-BO31)/BK28</f>
        <v>1.2180741865631768</v>
      </c>
      <c r="BL29" s="8">
        <f xml:space="preserve"> (10-BO32)/BL28</f>
        <v>1.3046992003164826</v>
      </c>
      <c r="BM29" s="8">
        <f xml:space="preserve"> (10-BO33)/BM28</f>
        <v>1.1674596694726767</v>
      </c>
      <c r="BN29" s="8">
        <f xml:space="preserve"> (10-BO34)/BN28</f>
        <v>0.88752755993413524</v>
      </c>
      <c r="BO29" s="8">
        <f xml:space="preserve"> (10-BO35)/BO28</f>
        <v>0.99403757613886579</v>
      </c>
      <c r="BP29" s="8">
        <f xml:space="preserve"> (10-BO36)/BP28</f>
        <v>0.81837986584876454</v>
      </c>
      <c r="BR29" s="15">
        <f>SUM(BK29:BP29)/6</f>
        <v>1.065029676379017</v>
      </c>
      <c r="BS29" s="15">
        <f>_xlfn.STDEV.P(BK29:BP29)/SQRT(6)</f>
        <v>7.2406839563488146E-2</v>
      </c>
    </row>
    <row r="30" spans="1:71" ht="14.4" x14ac:dyDescent="0.3">
      <c r="A30" s="3">
        <v>7</v>
      </c>
      <c r="B30" s="3">
        <v>21</v>
      </c>
      <c r="C30" s="3">
        <f t="shared" si="7"/>
        <v>7.333333333333333</v>
      </c>
      <c r="D30" s="2">
        <v>53</v>
      </c>
      <c r="E30" s="2">
        <v>53</v>
      </c>
      <c r="F30" s="2">
        <v>56</v>
      </c>
      <c r="G30" s="2">
        <v>52</v>
      </c>
      <c r="H30" s="2">
        <v>52</v>
      </c>
      <c r="I30" s="2">
        <v>54</v>
      </c>
      <c r="J30" s="2">
        <v>55</v>
      </c>
      <c r="K30" s="2">
        <v>58</v>
      </c>
      <c r="L30" s="2">
        <v>55</v>
      </c>
      <c r="M30" s="2">
        <v>55</v>
      </c>
      <c r="N30" s="2">
        <v>58</v>
      </c>
      <c r="O30" s="2">
        <v>54</v>
      </c>
      <c r="Q30">
        <f t="shared" si="8"/>
        <v>53</v>
      </c>
      <c r="R30">
        <f t="shared" si="9"/>
        <v>54</v>
      </c>
      <c r="S30">
        <f t="shared" si="10"/>
        <v>53</v>
      </c>
      <c r="T30">
        <f t="shared" si="11"/>
        <v>56.5</v>
      </c>
      <c r="U30">
        <f t="shared" si="12"/>
        <v>55</v>
      </c>
      <c r="V30">
        <f t="shared" si="13"/>
        <v>56</v>
      </c>
    </row>
    <row r="31" spans="1:71" ht="14.4" x14ac:dyDescent="0.3">
      <c r="A31" s="3">
        <v>8</v>
      </c>
      <c r="B31" s="3">
        <v>18</v>
      </c>
      <c r="C31" s="3">
        <f t="shared" si="7"/>
        <v>8.2083333333333339</v>
      </c>
      <c r="D31" s="2">
        <v>61</v>
      </c>
      <c r="E31" s="2">
        <v>63</v>
      </c>
      <c r="F31" s="2">
        <v>63</v>
      </c>
      <c r="G31" s="2">
        <v>59</v>
      </c>
      <c r="H31" s="2">
        <v>63</v>
      </c>
      <c r="I31" s="2">
        <v>62</v>
      </c>
      <c r="J31" s="2">
        <v>65</v>
      </c>
      <c r="K31" s="2">
        <v>69</v>
      </c>
      <c r="L31" s="2">
        <v>65</v>
      </c>
      <c r="M31" s="2">
        <v>63</v>
      </c>
      <c r="N31" s="2">
        <v>69</v>
      </c>
      <c r="O31" s="2">
        <v>61</v>
      </c>
      <c r="Q31">
        <f t="shared" si="8"/>
        <v>62</v>
      </c>
      <c r="R31">
        <f t="shared" si="9"/>
        <v>61</v>
      </c>
      <c r="S31">
        <f t="shared" si="10"/>
        <v>62.5</v>
      </c>
      <c r="T31">
        <f t="shared" si="11"/>
        <v>67</v>
      </c>
      <c r="U31">
        <f t="shared" si="12"/>
        <v>64</v>
      </c>
      <c r="V31">
        <f t="shared" si="13"/>
        <v>65</v>
      </c>
      <c r="BJ31" t="s">
        <v>15</v>
      </c>
      <c r="BK31" t="s">
        <v>16</v>
      </c>
      <c r="BL31" t="s">
        <v>17</v>
      </c>
      <c r="BM31">
        <v>7.1117999999999997</v>
      </c>
      <c r="BN31" t="s">
        <v>25</v>
      </c>
      <c r="BO31">
        <v>1.3372999999999999</v>
      </c>
    </row>
    <row r="32" spans="1:71" ht="14.4" x14ac:dyDescent="0.3">
      <c r="A32" s="3">
        <v>10</v>
      </c>
      <c r="B32" s="3">
        <v>13.16</v>
      </c>
      <c r="C32" s="3">
        <f t="shared" si="7"/>
        <v>10.006666666666666</v>
      </c>
      <c r="D32" s="2">
        <v>75</v>
      </c>
      <c r="E32" s="2">
        <v>75</v>
      </c>
      <c r="F32" s="2">
        <v>71</v>
      </c>
      <c r="G32" s="2">
        <v>72</v>
      </c>
      <c r="H32" s="2">
        <v>75</v>
      </c>
      <c r="I32" s="2">
        <v>76</v>
      </c>
      <c r="J32" s="2">
        <v>78</v>
      </c>
      <c r="K32" s="2">
        <v>82</v>
      </c>
      <c r="L32" s="2">
        <v>74</v>
      </c>
      <c r="M32" s="2">
        <v>77</v>
      </c>
      <c r="N32" s="2">
        <v>80</v>
      </c>
      <c r="O32" s="2">
        <v>73</v>
      </c>
      <c r="Q32">
        <f t="shared" si="8"/>
        <v>75</v>
      </c>
      <c r="R32">
        <f t="shared" si="9"/>
        <v>71.5</v>
      </c>
      <c r="S32">
        <f t="shared" si="10"/>
        <v>75.5</v>
      </c>
      <c r="T32">
        <f t="shared" si="11"/>
        <v>80</v>
      </c>
      <c r="U32">
        <f t="shared" si="12"/>
        <v>75.5</v>
      </c>
      <c r="V32">
        <f t="shared" si="13"/>
        <v>76.5</v>
      </c>
      <c r="BJ32" t="s">
        <v>15</v>
      </c>
      <c r="BK32" t="s">
        <v>16</v>
      </c>
      <c r="BL32" t="s">
        <v>17</v>
      </c>
      <c r="BM32">
        <v>7.0777999999999999</v>
      </c>
      <c r="BN32" t="s">
        <v>25</v>
      </c>
      <c r="BO32">
        <v>0.76559999999999995</v>
      </c>
    </row>
    <row r="33" spans="1:67" ht="14.4" x14ac:dyDescent="0.3">
      <c r="A33" s="3">
        <v>13</v>
      </c>
      <c r="B33" s="3">
        <v>12.25</v>
      </c>
      <c r="C33" s="3">
        <f>((24*A33)+(B33-13))/24</f>
        <v>12.96875</v>
      </c>
      <c r="D33" s="2">
        <v>90</v>
      </c>
      <c r="E33" s="2">
        <v>90</v>
      </c>
      <c r="F33" s="2">
        <v>90</v>
      </c>
      <c r="G33" s="2">
        <v>90</v>
      </c>
      <c r="H33" s="2">
        <v>90</v>
      </c>
      <c r="I33" s="2">
        <v>90</v>
      </c>
      <c r="J33" s="2">
        <v>90</v>
      </c>
      <c r="K33" s="2">
        <v>90</v>
      </c>
      <c r="L33" s="2">
        <v>90</v>
      </c>
      <c r="M33" s="2">
        <v>90</v>
      </c>
      <c r="N33" s="2">
        <v>90</v>
      </c>
      <c r="O33" s="2">
        <v>90</v>
      </c>
      <c r="Q33">
        <f t="shared" si="8"/>
        <v>90</v>
      </c>
      <c r="R33">
        <f t="shared" si="9"/>
        <v>90</v>
      </c>
      <c r="S33">
        <f t="shared" si="10"/>
        <v>90</v>
      </c>
      <c r="T33">
        <f t="shared" si="11"/>
        <v>90</v>
      </c>
      <c r="U33">
        <f t="shared" si="12"/>
        <v>90</v>
      </c>
      <c r="V33">
        <f t="shared" si="13"/>
        <v>90</v>
      </c>
      <c r="BJ33" t="s">
        <v>15</v>
      </c>
      <c r="BK33" t="s">
        <v>16</v>
      </c>
      <c r="BL33" t="s">
        <v>17</v>
      </c>
      <c r="BM33">
        <v>7.1037999999999997</v>
      </c>
      <c r="BN33" t="s">
        <v>25</v>
      </c>
      <c r="BO33">
        <v>1.7065999999999999</v>
      </c>
    </row>
    <row r="34" spans="1:67" ht="14.4" x14ac:dyDescent="0.3">
      <c r="A34" s="3"/>
      <c r="B34" s="3"/>
      <c r="C34" s="3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Q34">
        <f t="shared" si="8"/>
        <v>0</v>
      </c>
      <c r="R34">
        <f t="shared" si="9"/>
        <v>0</v>
      </c>
      <c r="S34">
        <f t="shared" si="10"/>
        <v>0</v>
      </c>
      <c r="T34">
        <f t="shared" si="11"/>
        <v>0</v>
      </c>
      <c r="U34">
        <f t="shared" si="12"/>
        <v>0</v>
      </c>
      <c r="V34">
        <f t="shared" si="13"/>
        <v>0</v>
      </c>
      <c r="BJ34" t="s">
        <v>15</v>
      </c>
      <c r="BK34" t="s">
        <v>16</v>
      </c>
      <c r="BL34" t="s">
        <v>17</v>
      </c>
      <c r="BM34">
        <v>7.1661999999999999</v>
      </c>
      <c r="BN34" t="s">
        <v>25</v>
      </c>
      <c r="BO34">
        <v>3.6398000000000001</v>
      </c>
    </row>
    <row r="35" spans="1:67" ht="14.4" x14ac:dyDescent="0.3">
      <c r="A35" s="3"/>
      <c r="B35" s="3"/>
      <c r="C35" s="3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Q35">
        <f t="shared" si="8"/>
        <v>0</v>
      </c>
      <c r="R35">
        <f t="shared" si="9"/>
        <v>0</v>
      </c>
      <c r="S35">
        <f t="shared" si="10"/>
        <v>0</v>
      </c>
      <c r="T35">
        <f t="shared" si="11"/>
        <v>0</v>
      </c>
      <c r="U35">
        <f t="shared" si="12"/>
        <v>0</v>
      </c>
      <c r="V35">
        <f t="shared" si="13"/>
        <v>0</v>
      </c>
      <c r="BJ35" t="s">
        <v>15</v>
      </c>
      <c r="BK35" t="s">
        <v>16</v>
      </c>
      <c r="BL35" t="s">
        <v>17</v>
      </c>
      <c r="BM35">
        <v>6.9938000000000002</v>
      </c>
      <c r="BN35" t="s">
        <v>25</v>
      </c>
      <c r="BO35">
        <v>3.0478999999999998</v>
      </c>
    </row>
    <row r="36" spans="1:67" ht="14.4" x14ac:dyDescent="0.3">
      <c r="A36" s="3"/>
      <c r="B36" s="3"/>
      <c r="C36" s="3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Q36">
        <f t="shared" si="8"/>
        <v>0</v>
      </c>
      <c r="R36">
        <f t="shared" si="9"/>
        <v>0</v>
      </c>
      <c r="S36">
        <f t="shared" si="10"/>
        <v>0</v>
      </c>
      <c r="T36">
        <f t="shared" si="11"/>
        <v>0</v>
      </c>
      <c r="U36">
        <f t="shared" si="12"/>
        <v>0</v>
      </c>
      <c r="V36">
        <f t="shared" si="13"/>
        <v>0</v>
      </c>
      <c r="BJ36" t="s">
        <v>15</v>
      </c>
      <c r="BK36" t="s">
        <v>16</v>
      </c>
      <c r="BL36" t="s">
        <v>17</v>
      </c>
      <c r="BM36">
        <v>6.9771999999999998</v>
      </c>
      <c r="BN36" t="s">
        <v>25</v>
      </c>
      <c r="BO36">
        <v>4.29</v>
      </c>
    </row>
    <row r="37" spans="1:67" ht="14.4" x14ac:dyDescent="0.3">
      <c r="A37" s="3"/>
      <c r="B37" s="3"/>
      <c r="C37" s="3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Q37">
        <f t="shared" si="8"/>
        <v>0</v>
      </c>
      <c r="R37">
        <f t="shared" si="9"/>
        <v>0</v>
      </c>
      <c r="S37">
        <f t="shared" si="10"/>
        <v>0</v>
      </c>
      <c r="T37">
        <f t="shared" si="11"/>
        <v>0</v>
      </c>
      <c r="U37">
        <f t="shared" si="12"/>
        <v>0</v>
      </c>
      <c r="V37">
        <f>SUM(N37:O37)/2</f>
        <v>0</v>
      </c>
    </row>
    <row r="38" spans="1:67" ht="14.4" x14ac:dyDescent="0.3">
      <c r="A38" s="3"/>
      <c r="B38" s="3"/>
      <c r="C38" s="3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Q38">
        <f t="shared" si="8"/>
        <v>0</v>
      </c>
      <c r="R38">
        <f t="shared" si="9"/>
        <v>0</v>
      </c>
      <c r="S38">
        <f t="shared" si="10"/>
        <v>0</v>
      </c>
      <c r="T38">
        <f t="shared" si="11"/>
        <v>0</v>
      </c>
      <c r="U38">
        <f t="shared" si="12"/>
        <v>0</v>
      </c>
      <c r="V38">
        <f>SUM(N38:O38)/2</f>
        <v>0</v>
      </c>
    </row>
    <row r="39" spans="1:67" ht="21" x14ac:dyDescent="0.4">
      <c r="A39" s="3"/>
      <c r="B39" s="3"/>
      <c r="C39" s="10"/>
    </row>
    <row r="40" spans="1:67" ht="14.4" x14ac:dyDescent="0.25">
      <c r="A40" s="3"/>
      <c r="B40" s="3"/>
    </row>
  </sheetData>
  <mergeCells count="13">
    <mergeCell ref="N25:O25"/>
    <mergeCell ref="D4:E4"/>
    <mergeCell ref="F4:G4"/>
    <mergeCell ref="H4:I4"/>
    <mergeCell ref="J4:K4"/>
    <mergeCell ref="L4:M4"/>
    <mergeCell ref="N4:O4"/>
    <mergeCell ref="D25:E25"/>
    <mergeCell ref="F25:G25"/>
    <mergeCell ref="H25:I25"/>
    <mergeCell ref="J25:K25"/>
    <mergeCell ref="L25:M25"/>
    <mergeCell ref="E11:K13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:J27"/>
  <sheetViews>
    <sheetView topLeftCell="F34" zoomScaleNormal="100" workbookViewId="0">
      <selection activeCell="L37" sqref="F33:L37"/>
    </sheetView>
  </sheetViews>
  <sheetFormatPr defaultRowHeight="13.8" x14ac:dyDescent="0.25"/>
  <cols>
    <col min="3" max="3" width="19" bestFit="1" customWidth="1"/>
    <col min="4" max="4" width="4.19921875" bestFit="1" customWidth="1"/>
    <col min="5" max="5" width="11.8984375" bestFit="1" customWidth="1"/>
    <col min="6" max="6" width="20.3984375" bestFit="1" customWidth="1"/>
    <col min="12" max="12" width="19.69921875" bestFit="1" customWidth="1"/>
    <col min="13" max="13" width="10.19921875" bestFit="1" customWidth="1"/>
  </cols>
  <sheetData>
    <row r="1" spans="3:9" x14ac:dyDescent="0.25">
      <c r="F1" s="20" t="s">
        <v>41</v>
      </c>
      <c r="G1" t="s">
        <v>5</v>
      </c>
      <c r="H1" t="s">
        <v>42</v>
      </c>
      <c r="I1" t="s">
        <v>5</v>
      </c>
    </row>
    <row r="2" spans="3:9" x14ac:dyDescent="0.25">
      <c r="F2" s="40" t="s">
        <v>12</v>
      </c>
      <c r="G2" s="40"/>
      <c r="H2" s="40" t="s">
        <v>11</v>
      </c>
      <c r="I2" s="40"/>
    </row>
    <row r="3" spans="3:9" x14ac:dyDescent="0.25">
      <c r="C3" s="43" t="s">
        <v>1</v>
      </c>
      <c r="D3" s="40" t="s">
        <v>38</v>
      </c>
      <c r="E3">
        <v>0.97</v>
      </c>
      <c r="F3">
        <v>1.57952</v>
      </c>
      <c r="G3">
        <v>3.3763322111427387E-2</v>
      </c>
      <c r="H3">
        <v>13.14549112735801</v>
      </c>
      <c r="I3">
        <v>1.9161028247141676</v>
      </c>
    </row>
    <row r="4" spans="3:9" x14ac:dyDescent="0.25">
      <c r="C4" s="43"/>
      <c r="D4" s="40"/>
      <c r="E4">
        <v>0.99</v>
      </c>
      <c r="F4">
        <v>2.3852000000000002</v>
      </c>
      <c r="G4">
        <v>2.0881916685123625E-2</v>
      </c>
      <c r="H4">
        <v>10.636656226731676</v>
      </c>
      <c r="I4">
        <v>0.297647832523107</v>
      </c>
    </row>
    <row r="5" spans="3:9" x14ac:dyDescent="0.25">
      <c r="C5" s="43"/>
      <c r="D5" s="40" t="s">
        <v>39</v>
      </c>
      <c r="E5">
        <v>0.97</v>
      </c>
      <c r="F5">
        <v>3.02332</v>
      </c>
      <c r="G5">
        <v>3.5475753973664891E-2</v>
      </c>
      <c r="H5">
        <v>7.5273728566541038</v>
      </c>
      <c r="I5">
        <v>0.34357587230220227</v>
      </c>
    </row>
    <row r="6" spans="3:9" x14ac:dyDescent="0.25">
      <c r="C6" s="43"/>
      <c r="D6" s="40"/>
      <c r="E6">
        <v>0.99</v>
      </c>
      <c r="F6">
        <v>5.0796999999999999</v>
      </c>
      <c r="G6">
        <v>3.9172935668505784E-2</v>
      </c>
      <c r="H6">
        <v>4.259213383576899</v>
      </c>
      <c r="I6">
        <v>8.8086030560699649E-2</v>
      </c>
    </row>
    <row r="7" spans="3:9" x14ac:dyDescent="0.25">
      <c r="C7" s="43"/>
      <c r="D7" s="40" t="s">
        <v>40</v>
      </c>
      <c r="E7">
        <v>0.97</v>
      </c>
      <c r="F7">
        <v>5.7279000000000009</v>
      </c>
      <c r="G7">
        <v>4.8113349960737961E-2</v>
      </c>
      <c r="H7">
        <v>3.5840746269165895</v>
      </c>
      <c r="I7">
        <v>0.2513647546548719</v>
      </c>
    </row>
    <row r="8" spans="3:9" x14ac:dyDescent="0.25">
      <c r="C8" s="43"/>
      <c r="D8" s="40"/>
      <c r="E8">
        <v>0.99</v>
      </c>
      <c r="F8">
        <v>9.2111833333333326</v>
      </c>
      <c r="G8">
        <v>4.1040910596532774E-2</v>
      </c>
      <c r="H8">
        <v>1.7564326136194472</v>
      </c>
      <c r="I8">
        <v>3.3886556272669545E-2</v>
      </c>
    </row>
    <row r="9" spans="3:9" x14ac:dyDescent="0.25">
      <c r="C9" s="43" t="s">
        <v>2</v>
      </c>
      <c r="D9" s="40" t="s">
        <v>38</v>
      </c>
      <c r="E9">
        <v>0.97</v>
      </c>
      <c r="F9">
        <v>1.5829333333333333</v>
      </c>
      <c r="G9">
        <v>3.8007219099846064E-2</v>
      </c>
      <c r="H9">
        <v>13.356731457314448</v>
      </c>
      <c r="I9">
        <v>1.0290025442942372</v>
      </c>
    </row>
    <row r="10" spans="3:9" x14ac:dyDescent="0.25">
      <c r="C10" s="43"/>
      <c r="D10" s="40"/>
      <c r="E10">
        <v>0.99</v>
      </c>
      <c r="F10">
        <v>2.5223666666666666</v>
      </c>
      <c r="G10">
        <v>1.7281568001561439E-2</v>
      </c>
      <c r="H10">
        <v>6.2421781733761117</v>
      </c>
      <c r="I10">
        <v>0.18107302452384369</v>
      </c>
    </row>
    <row r="11" spans="3:9" x14ac:dyDescent="0.25">
      <c r="C11" s="43"/>
      <c r="D11" s="40" t="s">
        <v>39</v>
      </c>
      <c r="E11">
        <v>0.97</v>
      </c>
      <c r="F11">
        <v>2.9161666666666668</v>
      </c>
      <c r="G11">
        <v>6.2099640662167832E-2</v>
      </c>
      <c r="H11">
        <v>4.5076135384325529</v>
      </c>
      <c r="I11">
        <v>0.76146141518253796</v>
      </c>
    </row>
    <row r="12" spans="3:9" x14ac:dyDescent="0.25">
      <c r="C12" s="43"/>
      <c r="D12" s="40"/>
      <c r="E12">
        <v>0.99</v>
      </c>
      <c r="F12">
        <v>4.84985</v>
      </c>
      <c r="G12">
        <v>3.9341303924049713E-2</v>
      </c>
      <c r="H12">
        <v>3.5501994137387363</v>
      </c>
      <c r="I12">
        <v>9.9961103573396326E-2</v>
      </c>
    </row>
    <row r="13" spans="3:9" x14ac:dyDescent="0.25">
      <c r="C13" s="43"/>
      <c r="D13" s="40" t="s">
        <v>40</v>
      </c>
      <c r="E13">
        <v>0.97</v>
      </c>
      <c r="F13">
        <v>4.5671333333333335</v>
      </c>
      <c r="G13">
        <v>0.17995484413020379</v>
      </c>
      <c r="H13">
        <v>2.3313110143146352</v>
      </c>
      <c r="I13">
        <v>7.0005657842057048E-2</v>
      </c>
    </row>
    <row r="14" spans="3:9" x14ac:dyDescent="0.25">
      <c r="C14" s="43"/>
      <c r="D14" s="40"/>
      <c r="E14">
        <v>0.99</v>
      </c>
      <c r="F14">
        <v>7.0717666666666661</v>
      </c>
      <c r="G14">
        <v>2.7184816704536693E-2</v>
      </c>
      <c r="H14">
        <v>1.065029676379017</v>
      </c>
      <c r="I14">
        <v>7.2406839563488146E-2</v>
      </c>
    </row>
    <row r="21" spans="6:10" x14ac:dyDescent="0.25">
      <c r="I21" s="9" t="s">
        <v>67</v>
      </c>
      <c r="J21" s="27" t="s">
        <v>66</v>
      </c>
    </row>
    <row r="22" spans="6:10" x14ac:dyDescent="0.25">
      <c r="F22" t="s">
        <v>63</v>
      </c>
      <c r="G22" t="s">
        <v>38</v>
      </c>
      <c r="H22">
        <v>0.97</v>
      </c>
    </row>
    <row r="23" spans="6:10" x14ac:dyDescent="0.25">
      <c r="F23" s="42" t="s">
        <v>90</v>
      </c>
      <c r="H23">
        <v>0.99</v>
      </c>
    </row>
    <row r="24" spans="6:10" x14ac:dyDescent="0.25">
      <c r="F24" s="42"/>
      <c r="G24" t="s">
        <v>39</v>
      </c>
      <c r="H24">
        <v>0.97</v>
      </c>
    </row>
    <row r="25" spans="6:10" x14ac:dyDescent="0.25">
      <c r="F25" s="42"/>
      <c r="H25">
        <v>0.99</v>
      </c>
    </row>
    <row r="26" spans="6:10" x14ac:dyDescent="0.25">
      <c r="F26" s="42"/>
      <c r="G26" t="s">
        <v>40</v>
      </c>
      <c r="H26">
        <v>0.97</v>
      </c>
    </row>
    <row r="27" spans="6:10" x14ac:dyDescent="0.25">
      <c r="F27" s="42"/>
      <c r="H27">
        <v>0.99</v>
      </c>
    </row>
  </sheetData>
  <mergeCells count="11">
    <mergeCell ref="F23:F27"/>
    <mergeCell ref="F2:G2"/>
    <mergeCell ref="H2:I2"/>
    <mergeCell ref="C3:C8"/>
    <mergeCell ref="C9:C14"/>
    <mergeCell ref="D9:D10"/>
    <mergeCell ref="D11:D12"/>
    <mergeCell ref="D13:D14"/>
    <mergeCell ref="D3:D4"/>
    <mergeCell ref="D5:D6"/>
    <mergeCell ref="D7:D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71"/>
  <sheetViews>
    <sheetView workbookViewId="0">
      <selection activeCell="F1" sqref="F1:G1048576"/>
    </sheetView>
  </sheetViews>
  <sheetFormatPr defaultRowHeight="13.8" x14ac:dyDescent="0.25"/>
  <cols>
    <col min="1" max="1" width="19" bestFit="1" customWidth="1"/>
    <col min="2" max="2" width="11.19921875" bestFit="1" customWidth="1"/>
    <col min="3" max="3" width="11.69921875" bestFit="1" customWidth="1"/>
    <col min="4" max="4" width="10.19921875" bestFit="1" customWidth="1"/>
    <col min="6" max="6" width="17.3984375" bestFit="1" customWidth="1"/>
    <col min="7" max="7" width="14.5" bestFit="1" customWidth="1"/>
  </cols>
  <sheetData>
    <row r="1" spans="1:7" x14ac:dyDescent="0.25">
      <c r="A1" t="s">
        <v>10</v>
      </c>
      <c r="B1" t="s">
        <v>8</v>
      </c>
      <c r="C1" t="s">
        <v>9</v>
      </c>
      <c r="D1" t="s">
        <v>12</v>
      </c>
      <c r="E1" t="s">
        <v>11</v>
      </c>
      <c r="F1" t="s">
        <v>55</v>
      </c>
      <c r="G1" t="s">
        <v>56</v>
      </c>
    </row>
    <row r="2" spans="1:7" ht="14.4" x14ac:dyDescent="0.3">
      <c r="A2" s="7" t="s">
        <v>1</v>
      </c>
      <c r="B2">
        <v>5</v>
      </c>
      <c r="C2">
        <v>0.97</v>
      </c>
      <c r="D2">
        <v>1.7095</v>
      </c>
      <c r="E2">
        <v>16.378473237788825</v>
      </c>
      <c r="F2">
        <f>SQRT(D2)</f>
        <v>1.307478489306803</v>
      </c>
      <c r="G2">
        <f>SQRT(E2)</f>
        <v>4.0470326459998844</v>
      </c>
    </row>
    <row r="3" spans="1:7" ht="14.4" x14ac:dyDescent="0.3">
      <c r="A3" s="7" t="s">
        <v>1</v>
      </c>
      <c r="B3">
        <v>5</v>
      </c>
      <c r="C3">
        <v>0.97</v>
      </c>
      <c r="D3">
        <v>1.5623</v>
      </c>
      <c r="E3">
        <v>16.685655763937785</v>
      </c>
      <c r="F3">
        <f t="shared" ref="F3:F66" si="0">SQRT(D3)</f>
        <v>1.2499199974398361</v>
      </c>
      <c r="G3">
        <f t="shared" ref="G3:G66" si="1">SQRT(E3)</f>
        <v>4.0848079225268092</v>
      </c>
    </row>
    <row r="4" spans="1:7" ht="14.4" x14ac:dyDescent="0.3">
      <c r="A4" s="7" t="s">
        <v>1</v>
      </c>
      <c r="B4">
        <v>5</v>
      </c>
      <c r="C4">
        <v>0.97</v>
      </c>
      <c r="D4">
        <v>1.6101000000000001</v>
      </c>
      <c r="E4">
        <v>16.822557605117694</v>
      </c>
      <c r="F4">
        <f t="shared" si="0"/>
        <v>1.2688971589533962</v>
      </c>
      <c r="G4">
        <f t="shared" si="1"/>
        <v>4.1015311293610459</v>
      </c>
    </row>
    <row r="5" spans="1:7" ht="14.4" x14ac:dyDescent="0.3">
      <c r="A5" s="7" t="s">
        <v>1</v>
      </c>
      <c r="B5">
        <v>5</v>
      </c>
      <c r="C5">
        <v>0.97</v>
      </c>
      <c r="D5">
        <v>1.5148999999999999</v>
      </c>
      <c r="E5">
        <v>7.3385702026536412</v>
      </c>
      <c r="F5">
        <f t="shared" si="0"/>
        <v>1.2308127396155761</v>
      </c>
      <c r="G5">
        <f t="shared" si="1"/>
        <v>2.7089795500619123</v>
      </c>
    </row>
    <row r="6" spans="1:7" ht="14.4" x14ac:dyDescent="0.3">
      <c r="A6" s="7" t="s">
        <v>1</v>
      </c>
      <c r="B6">
        <v>5</v>
      </c>
      <c r="C6">
        <v>0.97</v>
      </c>
      <c r="D6">
        <v>1.5007999999999999</v>
      </c>
      <c r="E6">
        <v>8.5021988272921103</v>
      </c>
      <c r="F6">
        <f t="shared" si="0"/>
        <v>1.2250714264890843</v>
      </c>
      <c r="G6">
        <f t="shared" si="1"/>
        <v>2.9158530188080656</v>
      </c>
    </row>
    <row r="7" spans="1:7" ht="14.4" x14ac:dyDescent="0.3">
      <c r="A7" s="7" t="s">
        <v>1</v>
      </c>
      <c r="B7">
        <v>5</v>
      </c>
      <c r="C7">
        <v>0.99</v>
      </c>
      <c r="D7">
        <v>2.3733</v>
      </c>
      <c r="E7">
        <v>11.295242910715038</v>
      </c>
      <c r="F7">
        <f t="shared" si="0"/>
        <v>1.5405518491761321</v>
      </c>
      <c r="G7">
        <f t="shared" si="1"/>
        <v>3.3608396139528942</v>
      </c>
    </row>
    <row r="8" spans="1:7" ht="14.4" x14ac:dyDescent="0.3">
      <c r="A8" s="7" t="s">
        <v>1</v>
      </c>
      <c r="B8">
        <v>5</v>
      </c>
      <c r="C8">
        <v>0.99</v>
      </c>
      <c r="D8">
        <v>2.3245</v>
      </c>
      <c r="E8">
        <v>11.224349322434932</v>
      </c>
      <c r="F8">
        <f t="shared" si="0"/>
        <v>1.5246311029229334</v>
      </c>
      <c r="G8">
        <f t="shared" si="1"/>
        <v>3.3502760069037496</v>
      </c>
    </row>
    <row r="9" spans="1:7" ht="14.4" x14ac:dyDescent="0.3">
      <c r="A9" s="7" t="s">
        <v>1</v>
      </c>
      <c r="B9">
        <v>5</v>
      </c>
      <c r="C9">
        <v>0.99</v>
      </c>
      <c r="D9">
        <v>2.4211999999999998</v>
      </c>
      <c r="E9">
        <v>11.174211134974394</v>
      </c>
      <c r="F9">
        <f t="shared" si="0"/>
        <v>1.5560205654167942</v>
      </c>
      <c r="G9">
        <f t="shared" si="1"/>
        <v>3.3427849369910705</v>
      </c>
    </row>
    <row r="10" spans="1:7" ht="14.4" x14ac:dyDescent="0.3">
      <c r="A10" s="7" t="s">
        <v>1</v>
      </c>
      <c r="B10">
        <v>5</v>
      </c>
      <c r="C10">
        <v>0.99</v>
      </c>
      <c r="D10">
        <v>2.4020999999999999</v>
      </c>
      <c r="E10">
        <v>10.410890470838018</v>
      </c>
      <c r="F10">
        <f t="shared" si="0"/>
        <v>1.5498709623707387</v>
      </c>
      <c r="G10">
        <f t="shared" si="1"/>
        <v>3.2265911533440392</v>
      </c>
    </row>
    <row r="11" spans="1:7" ht="14.4" x14ac:dyDescent="0.3">
      <c r="A11" s="7" t="s">
        <v>1</v>
      </c>
      <c r="B11">
        <v>5</v>
      </c>
      <c r="C11">
        <v>0.99</v>
      </c>
      <c r="D11">
        <v>2.4661</v>
      </c>
      <c r="E11">
        <v>9.203195328656582</v>
      </c>
      <c r="F11">
        <f t="shared" si="0"/>
        <v>1.5703821191035001</v>
      </c>
      <c r="G11">
        <f t="shared" si="1"/>
        <v>3.0336768662229967</v>
      </c>
    </row>
    <row r="12" spans="1:7" ht="14.4" x14ac:dyDescent="0.3">
      <c r="A12" s="7" t="s">
        <v>1</v>
      </c>
      <c r="B12">
        <v>5</v>
      </c>
      <c r="C12">
        <v>0.99</v>
      </c>
      <c r="D12">
        <v>2.3239999999999998</v>
      </c>
      <c r="E12">
        <v>10.512048192771084</v>
      </c>
      <c r="F12">
        <f t="shared" si="0"/>
        <v>1.5244671200127604</v>
      </c>
      <c r="G12">
        <f t="shared" si="1"/>
        <v>3.2422288927173364</v>
      </c>
    </row>
    <row r="13" spans="1:7" ht="14.4" x14ac:dyDescent="0.3">
      <c r="A13" s="7" t="s">
        <v>1</v>
      </c>
      <c r="B13">
        <v>10</v>
      </c>
      <c r="C13">
        <v>0.97</v>
      </c>
      <c r="D13">
        <v>3.0118</v>
      </c>
      <c r="E13">
        <v>7.3517497841822159</v>
      </c>
      <c r="F13">
        <f t="shared" si="0"/>
        <v>1.735453831134669</v>
      </c>
      <c r="G13">
        <f t="shared" si="1"/>
        <v>2.7114110319503784</v>
      </c>
    </row>
    <row r="14" spans="1:7" ht="14.4" x14ac:dyDescent="0.3">
      <c r="A14" s="7" t="s">
        <v>1</v>
      </c>
      <c r="B14">
        <v>10</v>
      </c>
      <c r="C14">
        <v>0.97</v>
      </c>
      <c r="D14">
        <v>3.1717</v>
      </c>
      <c r="E14">
        <v>7.8926127944004794</v>
      </c>
      <c r="F14">
        <f t="shared" si="0"/>
        <v>1.7809267250507528</v>
      </c>
      <c r="G14">
        <f t="shared" si="1"/>
        <v>2.809379432259103</v>
      </c>
    </row>
    <row r="15" spans="1:7" ht="14.4" x14ac:dyDescent="0.3">
      <c r="A15" s="7" t="s">
        <v>1</v>
      </c>
      <c r="B15">
        <v>10</v>
      </c>
      <c r="C15">
        <v>0.97</v>
      </c>
      <c r="D15">
        <v>3.0061</v>
      </c>
      <c r="E15">
        <v>7.9298759189647718</v>
      </c>
      <c r="F15">
        <f t="shared" si="0"/>
        <v>1.7338108316653233</v>
      </c>
      <c r="G15">
        <f t="shared" si="1"/>
        <v>2.8160035367457854</v>
      </c>
    </row>
    <row r="16" spans="1:7" ht="14.4" x14ac:dyDescent="0.3">
      <c r="A16" s="7" t="s">
        <v>1</v>
      </c>
      <c r="B16">
        <v>10</v>
      </c>
      <c r="C16">
        <v>0.97</v>
      </c>
      <c r="D16">
        <v>2.9940000000000002</v>
      </c>
      <c r="E16">
        <v>8.3380093520374068</v>
      </c>
      <c r="F16">
        <f t="shared" si="0"/>
        <v>1.7303178898687952</v>
      </c>
      <c r="G16">
        <f t="shared" si="1"/>
        <v>2.8875611425625962</v>
      </c>
    </row>
    <row r="17" spans="1:7" ht="14.4" x14ac:dyDescent="0.3">
      <c r="A17" s="7" t="s">
        <v>1</v>
      </c>
      <c r="B17">
        <v>10</v>
      </c>
      <c r="C17">
        <v>0.97</v>
      </c>
      <c r="D17">
        <v>2.9329999999999998</v>
      </c>
      <c r="E17">
        <v>6.1246164336856461</v>
      </c>
      <c r="F17">
        <f t="shared" si="0"/>
        <v>1.7126003620226173</v>
      </c>
      <c r="G17">
        <f t="shared" si="1"/>
        <v>2.4747962408419903</v>
      </c>
    </row>
    <row r="18" spans="1:7" ht="14.4" x14ac:dyDescent="0.3">
      <c r="A18" s="7" t="s">
        <v>1</v>
      </c>
      <c r="B18">
        <v>10</v>
      </c>
      <c r="C18">
        <v>0.99</v>
      </c>
      <c r="D18">
        <v>5.1543000000000001</v>
      </c>
      <c r="E18">
        <v>4.3123217507712006</v>
      </c>
      <c r="F18">
        <f t="shared" si="0"/>
        <v>2.2703083491015046</v>
      </c>
      <c r="G18">
        <f t="shared" si="1"/>
        <v>2.0766130479150902</v>
      </c>
    </row>
    <row r="19" spans="1:7" ht="14.4" x14ac:dyDescent="0.3">
      <c r="A19" s="7" t="s">
        <v>1</v>
      </c>
      <c r="B19">
        <v>10</v>
      </c>
      <c r="C19">
        <v>0.99</v>
      </c>
      <c r="D19">
        <v>5.0792000000000002</v>
      </c>
      <c r="E19">
        <v>4.3760828476925502</v>
      </c>
      <c r="F19">
        <f t="shared" si="0"/>
        <v>2.2537080556274365</v>
      </c>
      <c r="G19">
        <f t="shared" si="1"/>
        <v>2.0919089004286371</v>
      </c>
    </row>
    <row r="20" spans="1:7" ht="14.4" x14ac:dyDescent="0.3">
      <c r="A20" s="7" t="s">
        <v>1</v>
      </c>
      <c r="B20">
        <v>10</v>
      </c>
      <c r="C20">
        <v>0.99</v>
      </c>
      <c r="D20">
        <v>5.1071999999999997</v>
      </c>
      <c r="E20">
        <v>4.4893483709273188</v>
      </c>
      <c r="F20">
        <f t="shared" si="0"/>
        <v>2.2599115026920855</v>
      </c>
      <c r="G20">
        <f t="shared" si="1"/>
        <v>2.118808243076121</v>
      </c>
    </row>
    <row r="21" spans="1:7" ht="14.4" x14ac:dyDescent="0.3">
      <c r="A21" s="7" t="s">
        <v>1</v>
      </c>
      <c r="B21">
        <v>10</v>
      </c>
      <c r="C21">
        <v>0.99</v>
      </c>
      <c r="D21">
        <v>4.9154999999999998</v>
      </c>
      <c r="E21">
        <v>3.803275353473706</v>
      </c>
      <c r="F21">
        <f t="shared" si="0"/>
        <v>2.2170926908904822</v>
      </c>
      <c r="G21">
        <f t="shared" si="1"/>
        <v>1.9501987984494571</v>
      </c>
    </row>
    <row r="22" spans="1:7" ht="14.4" x14ac:dyDescent="0.3">
      <c r="A22" s="7" t="s">
        <v>1</v>
      </c>
      <c r="B22">
        <v>10</v>
      </c>
      <c r="C22">
        <v>0.99</v>
      </c>
      <c r="D22">
        <v>5.0110000000000001</v>
      </c>
      <c r="E22">
        <v>4.3021353023348627</v>
      </c>
      <c r="F22">
        <f t="shared" si="0"/>
        <v>2.2385263009399732</v>
      </c>
      <c r="G22">
        <f t="shared" si="1"/>
        <v>2.0741589385422858</v>
      </c>
    </row>
    <row r="23" spans="1:7" ht="14.4" x14ac:dyDescent="0.3">
      <c r="A23" s="7" t="s">
        <v>1</v>
      </c>
      <c r="B23">
        <v>10</v>
      </c>
      <c r="C23">
        <v>0.99</v>
      </c>
      <c r="D23">
        <v>5.2110000000000003</v>
      </c>
      <c r="E23">
        <v>4.2721166762617537</v>
      </c>
      <c r="F23">
        <f t="shared" si="0"/>
        <v>2.2827614855696159</v>
      </c>
      <c r="G23">
        <f t="shared" si="1"/>
        <v>2.066909934240424</v>
      </c>
    </row>
    <row r="24" spans="1:7" ht="14.4" x14ac:dyDescent="0.3">
      <c r="A24" s="7" t="s">
        <v>1</v>
      </c>
      <c r="B24">
        <v>15</v>
      </c>
      <c r="C24">
        <v>0.97</v>
      </c>
      <c r="D24">
        <v>5.8166000000000002</v>
      </c>
      <c r="E24">
        <v>3.7007874015748028</v>
      </c>
      <c r="F24">
        <f t="shared" si="0"/>
        <v>2.4117628407453333</v>
      </c>
      <c r="G24">
        <f t="shared" si="1"/>
        <v>1.923743070572264</v>
      </c>
    </row>
    <row r="25" spans="1:7" ht="14.4" x14ac:dyDescent="0.3">
      <c r="A25" s="7" t="s">
        <v>1</v>
      </c>
      <c r="B25">
        <v>15</v>
      </c>
      <c r="C25">
        <v>0.97</v>
      </c>
      <c r="D25">
        <v>5.8552</v>
      </c>
      <c r="E25">
        <v>4.4420344309331874</v>
      </c>
      <c r="F25">
        <f t="shared" si="0"/>
        <v>2.4197520534137378</v>
      </c>
      <c r="G25">
        <f t="shared" si="1"/>
        <v>2.1076134443804411</v>
      </c>
    </row>
    <row r="26" spans="1:7" ht="14.4" x14ac:dyDescent="0.3">
      <c r="A26" s="7" t="s">
        <v>1</v>
      </c>
      <c r="B26">
        <v>15</v>
      </c>
      <c r="C26">
        <v>0.97</v>
      </c>
      <c r="D26">
        <v>5.8544</v>
      </c>
      <c r="E26">
        <v>4.2040174911177921</v>
      </c>
      <c r="F26">
        <f t="shared" si="0"/>
        <v>2.4195867415738581</v>
      </c>
      <c r="G26">
        <f t="shared" si="1"/>
        <v>2.0503700863789911</v>
      </c>
    </row>
    <row r="27" spans="1:7" ht="14.4" x14ac:dyDescent="0.3">
      <c r="A27" s="7" t="s">
        <v>1</v>
      </c>
      <c r="B27">
        <v>15</v>
      </c>
      <c r="C27">
        <v>0.97</v>
      </c>
      <c r="D27">
        <v>5.6595000000000004</v>
      </c>
      <c r="E27">
        <v>3.4769855994345789</v>
      </c>
      <c r="F27">
        <f t="shared" si="0"/>
        <v>2.3789703655153001</v>
      </c>
      <c r="G27">
        <f t="shared" si="1"/>
        <v>1.8646676914224096</v>
      </c>
    </row>
    <row r="28" spans="1:7" ht="14.4" x14ac:dyDescent="0.3">
      <c r="A28" s="7" t="s">
        <v>1</v>
      </c>
      <c r="B28">
        <v>15</v>
      </c>
      <c r="C28">
        <v>0.97</v>
      </c>
      <c r="D28">
        <v>5.6134000000000004</v>
      </c>
      <c r="E28">
        <v>2.733655182242491</v>
      </c>
      <c r="F28">
        <f t="shared" si="0"/>
        <v>2.3692614883123393</v>
      </c>
      <c r="G28">
        <f t="shared" si="1"/>
        <v>1.6533769026578577</v>
      </c>
    </row>
    <row r="29" spans="1:7" ht="14.4" x14ac:dyDescent="0.3">
      <c r="A29" s="7" t="s">
        <v>1</v>
      </c>
      <c r="B29">
        <v>15</v>
      </c>
      <c r="C29">
        <v>0.97</v>
      </c>
      <c r="D29">
        <v>5.5682999999999998</v>
      </c>
      <c r="E29">
        <v>2.9469676561966849</v>
      </c>
      <c r="F29">
        <f t="shared" si="0"/>
        <v>2.3597245601976513</v>
      </c>
      <c r="G29">
        <f t="shared" si="1"/>
        <v>1.7166734273578901</v>
      </c>
    </row>
    <row r="30" spans="1:7" ht="14.4" x14ac:dyDescent="0.3">
      <c r="A30" s="7" t="s">
        <v>1</v>
      </c>
      <c r="B30">
        <v>15</v>
      </c>
      <c r="C30">
        <v>0.99</v>
      </c>
      <c r="D30">
        <v>9.3497000000000003</v>
      </c>
      <c r="E30">
        <v>1.7709766088751511</v>
      </c>
      <c r="F30">
        <f t="shared" si="0"/>
        <v>3.0577279146451208</v>
      </c>
      <c r="G30">
        <f t="shared" si="1"/>
        <v>1.3307804510418506</v>
      </c>
    </row>
    <row r="31" spans="1:7" ht="14.4" x14ac:dyDescent="0.3">
      <c r="A31" s="7" t="s">
        <v>1</v>
      </c>
      <c r="B31">
        <v>15</v>
      </c>
      <c r="C31">
        <v>0.99</v>
      </c>
      <c r="D31">
        <v>9.0638000000000005</v>
      </c>
      <c r="E31">
        <v>1.771817559963812</v>
      </c>
      <c r="F31">
        <f t="shared" si="0"/>
        <v>3.0106145552029737</v>
      </c>
      <c r="G31">
        <f t="shared" si="1"/>
        <v>1.331096375159895</v>
      </c>
    </row>
    <row r="32" spans="1:7" ht="14.4" x14ac:dyDescent="0.3">
      <c r="A32" s="7" t="s">
        <v>1</v>
      </c>
      <c r="B32">
        <v>15</v>
      </c>
      <c r="C32">
        <v>0.99</v>
      </c>
      <c r="D32">
        <v>9.3084000000000007</v>
      </c>
      <c r="E32">
        <v>1.8815908211937604</v>
      </c>
      <c r="F32">
        <f t="shared" si="0"/>
        <v>3.0509670598025145</v>
      </c>
      <c r="G32">
        <f t="shared" si="1"/>
        <v>1.3717109102116818</v>
      </c>
    </row>
    <row r="33" spans="1:14" ht="14.4" x14ac:dyDescent="0.3">
      <c r="A33" s="7" t="s">
        <v>1</v>
      </c>
      <c r="B33">
        <v>15</v>
      </c>
      <c r="C33">
        <v>0.99</v>
      </c>
      <c r="D33">
        <v>9.2350999999999992</v>
      </c>
      <c r="E33">
        <v>1.7851458024276945</v>
      </c>
      <c r="F33">
        <f t="shared" si="0"/>
        <v>3.0389307330046202</v>
      </c>
      <c r="G33">
        <f t="shared" si="1"/>
        <v>1.3360934856617237</v>
      </c>
    </row>
    <row r="34" spans="1:14" ht="14.4" x14ac:dyDescent="0.3">
      <c r="A34" s="7" t="s">
        <v>1</v>
      </c>
      <c r="B34">
        <v>15</v>
      </c>
      <c r="C34">
        <v>0.99</v>
      </c>
      <c r="D34">
        <v>9.1963000000000008</v>
      </c>
      <c r="E34">
        <v>1.6032534823787825</v>
      </c>
      <c r="F34">
        <f t="shared" si="0"/>
        <v>3.0325401893462187</v>
      </c>
      <c r="G34">
        <f t="shared" si="1"/>
        <v>1.2661964627887659</v>
      </c>
    </row>
    <row r="35" spans="1:14" ht="14.4" x14ac:dyDescent="0.3">
      <c r="A35" s="7" t="s">
        <v>1</v>
      </c>
      <c r="B35">
        <v>15</v>
      </c>
      <c r="C35">
        <v>0.99</v>
      </c>
      <c r="D35">
        <v>9.1137999999999995</v>
      </c>
      <c r="E35">
        <v>1.7258114068774826</v>
      </c>
      <c r="F35">
        <f t="shared" si="0"/>
        <v>3.018907087010132</v>
      </c>
      <c r="G35">
        <f t="shared" si="1"/>
        <v>1.3137014146591617</v>
      </c>
    </row>
    <row r="36" spans="1:14" ht="14.4" x14ac:dyDescent="0.3">
      <c r="A36" s="7" t="s">
        <v>2</v>
      </c>
      <c r="B36">
        <v>5</v>
      </c>
      <c r="C36">
        <v>0.97</v>
      </c>
      <c r="D36">
        <v>1.4867999999999999</v>
      </c>
      <c r="E36">
        <v>15.546139359698683</v>
      </c>
      <c r="F36">
        <f t="shared" si="0"/>
        <v>1.2193440859740945</v>
      </c>
      <c r="G36">
        <f t="shared" si="1"/>
        <v>3.9428592873318067</v>
      </c>
    </row>
    <row r="37" spans="1:14" ht="14.4" x14ac:dyDescent="0.3">
      <c r="A37" s="7" t="s">
        <v>2</v>
      </c>
      <c r="B37">
        <v>5</v>
      </c>
      <c r="C37">
        <v>0.97</v>
      </c>
      <c r="D37">
        <v>1.4750000000000001</v>
      </c>
      <c r="E37">
        <v>16.163389830508475</v>
      </c>
      <c r="F37">
        <f t="shared" si="0"/>
        <v>1.2144957801491119</v>
      </c>
      <c r="G37">
        <f t="shared" si="1"/>
        <v>4.0203718522679557</v>
      </c>
    </row>
    <row r="38" spans="1:14" ht="14.4" x14ac:dyDescent="0.3">
      <c r="A38" s="7" t="s">
        <v>2</v>
      </c>
      <c r="B38">
        <v>5</v>
      </c>
      <c r="C38">
        <v>0.97</v>
      </c>
      <c r="D38">
        <v>1.7084999999999999</v>
      </c>
      <c r="E38">
        <v>15.901082821188179</v>
      </c>
      <c r="F38">
        <f t="shared" si="0"/>
        <v>1.3070960178961606</v>
      </c>
      <c r="G38">
        <f t="shared" si="1"/>
        <v>3.9876161827824128</v>
      </c>
    </row>
    <row r="39" spans="1:14" ht="14.4" x14ac:dyDescent="0.3">
      <c r="A39" s="7" t="s">
        <v>2</v>
      </c>
      <c r="B39">
        <v>5</v>
      </c>
      <c r="C39">
        <v>0.97</v>
      </c>
      <c r="D39">
        <v>1.6727000000000001</v>
      </c>
      <c r="E39">
        <v>10.860106414778501</v>
      </c>
      <c r="F39">
        <f t="shared" si="0"/>
        <v>1.293329037793554</v>
      </c>
      <c r="G39">
        <f t="shared" si="1"/>
        <v>3.2954675563231541</v>
      </c>
    </row>
    <row r="40" spans="1:14" ht="14.4" x14ac:dyDescent="0.3">
      <c r="A40" s="7" t="s">
        <v>2</v>
      </c>
      <c r="B40">
        <v>5</v>
      </c>
      <c r="C40">
        <v>0.97</v>
      </c>
      <c r="D40">
        <v>1.5172000000000001</v>
      </c>
      <c r="E40">
        <v>10.936923279725809</v>
      </c>
      <c r="F40">
        <f t="shared" si="0"/>
        <v>1.2317467272130258</v>
      </c>
      <c r="G40">
        <f t="shared" si="1"/>
        <v>3.3071019457715254</v>
      </c>
    </row>
    <row r="41" spans="1:14" ht="14.4" x14ac:dyDescent="0.3">
      <c r="A41" s="7" t="s">
        <v>2</v>
      </c>
      <c r="B41">
        <v>5</v>
      </c>
      <c r="C41">
        <v>0.97</v>
      </c>
      <c r="D41">
        <v>1.6374</v>
      </c>
      <c r="E41">
        <v>10.732747037987052</v>
      </c>
      <c r="F41">
        <f t="shared" si="0"/>
        <v>1.2796093153771584</v>
      </c>
      <c r="G41">
        <f t="shared" si="1"/>
        <v>3.276087153600626</v>
      </c>
    </row>
    <row r="42" spans="1:14" ht="14.4" x14ac:dyDescent="0.3">
      <c r="A42" s="7" t="s">
        <v>2</v>
      </c>
      <c r="B42">
        <v>5</v>
      </c>
      <c r="C42">
        <v>0.99</v>
      </c>
      <c r="D42">
        <v>2.5535999999999999</v>
      </c>
      <c r="E42">
        <v>6.5912828947368416</v>
      </c>
      <c r="F42">
        <f t="shared" si="0"/>
        <v>1.5979987484350542</v>
      </c>
      <c r="G42">
        <f t="shared" si="1"/>
        <v>2.5673493908575904</v>
      </c>
    </row>
    <row r="43" spans="1:14" ht="14.4" x14ac:dyDescent="0.3">
      <c r="A43" s="7" t="s">
        <v>2</v>
      </c>
      <c r="B43">
        <v>5</v>
      </c>
      <c r="C43">
        <v>0.99</v>
      </c>
      <c r="D43">
        <v>2.4963000000000002</v>
      </c>
      <c r="E43">
        <v>5.8073148259423943</v>
      </c>
      <c r="F43">
        <f t="shared" si="0"/>
        <v>1.5799683541134615</v>
      </c>
      <c r="G43">
        <f t="shared" si="1"/>
        <v>2.409837095312128</v>
      </c>
    </row>
    <row r="44" spans="1:14" ht="14.4" x14ac:dyDescent="0.3">
      <c r="A44" s="7" t="s">
        <v>2</v>
      </c>
      <c r="B44">
        <v>5</v>
      </c>
      <c r="C44">
        <v>0.99</v>
      </c>
      <c r="D44">
        <v>2.4992000000000001</v>
      </c>
      <c r="E44">
        <v>5.5996318822023046</v>
      </c>
      <c r="F44">
        <f t="shared" si="0"/>
        <v>1.5808858276295603</v>
      </c>
      <c r="G44">
        <f t="shared" si="1"/>
        <v>2.3663541328808555</v>
      </c>
    </row>
    <row r="45" spans="1:14" ht="14.4" x14ac:dyDescent="0.3">
      <c r="A45" s="7" t="s">
        <v>2</v>
      </c>
      <c r="B45">
        <v>5</v>
      </c>
      <c r="C45">
        <v>0.99</v>
      </c>
      <c r="D45">
        <v>2.4841000000000002</v>
      </c>
      <c r="E45">
        <v>6.0582102169799921</v>
      </c>
      <c r="F45">
        <f t="shared" si="0"/>
        <v>1.57610278852618</v>
      </c>
      <c r="G45">
        <f t="shared" si="1"/>
        <v>2.4613431733466165</v>
      </c>
    </row>
    <row r="46" spans="1:14" ht="14.4" x14ac:dyDescent="0.3">
      <c r="A46" s="7" t="s">
        <v>2</v>
      </c>
      <c r="B46">
        <v>5</v>
      </c>
      <c r="C46">
        <v>0.99</v>
      </c>
      <c r="D46">
        <v>2.6030000000000002</v>
      </c>
      <c r="E46">
        <v>6.6411448328851321</v>
      </c>
      <c r="F46">
        <f t="shared" si="0"/>
        <v>1.6133815419794539</v>
      </c>
      <c r="G46">
        <f t="shared" si="1"/>
        <v>2.5770418764321881</v>
      </c>
      <c r="I46" s="22"/>
      <c r="J46" s="22"/>
      <c r="K46" s="22"/>
      <c r="L46" s="22"/>
      <c r="N46" s="22"/>
    </row>
    <row r="47" spans="1:14" ht="14.4" x14ac:dyDescent="0.3">
      <c r="A47" s="7" t="s">
        <v>2</v>
      </c>
      <c r="B47">
        <v>5</v>
      </c>
      <c r="C47">
        <v>0.99</v>
      </c>
      <c r="D47">
        <v>2.4980000000000002</v>
      </c>
      <c r="E47">
        <v>6.7554843875100072</v>
      </c>
      <c r="F47">
        <f t="shared" si="0"/>
        <v>1.5805062480104279</v>
      </c>
      <c r="G47">
        <f t="shared" si="1"/>
        <v>2.5991314679157744</v>
      </c>
      <c r="I47" s="22"/>
      <c r="J47" s="22"/>
      <c r="K47" s="22"/>
      <c r="L47" s="22"/>
      <c r="M47" s="22"/>
      <c r="N47" s="22"/>
    </row>
    <row r="48" spans="1:14" ht="14.4" x14ac:dyDescent="0.3">
      <c r="A48" s="7" t="s">
        <v>2</v>
      </c>
      <c r="B48">
        <v>10</v>
      </c>
      <c r="C48">
        <v>0.97</v>
      </c>
      <c r="D48">
        <v>2.9066000000000001</v>
      </c>
      <c r="E48">
        <v>5.4059726140507802</v>
      </c>
      <c r="F48">
        <f t="shared" si="0"/>
        <v>1.7048753620133057</v>
      </c>
      <c r="G48">
        <f t="shared" si="1"/>
        <v>2.3250747545080741</v>
      </c>
    </row>
    <row r="49" spans="1:7" ht="14.4" x14ac:dyDescent="0.3">
      <c r="A49" s="7" t="s">
        <v>2</v>
      </c>
      <c r="B49">
        <v>10</v>
      </c>
      <c r="C49">
        <v>0.97</v>
      </c>
      <c r="D49">
        <v>2.7949000000000002</v>
      </c>
      <c r="E49">
        <v>5.9565637410998598</v>
      </c>
      <c r="F49">
        <f t="shared" si="0"/>
        <v>1.671795442032308</v>
      </c>
      <c r="G49">
        <f t="shared" si="1"/>
        <v>2.4406072484322134</v>
      </c>
    </row>
    <row r="50" spans="1:7" ht="14.4" x14ac:dyDescent="0.3">
      <c r="A50" s="7" t="s">
        <v>2</v>
      </c>
      <c r="B50">
        <v>10</v>
      </c>
      <c r="C50">
        <v>0.97</v>
      </c>
      <c r="D50">
        <v>3.0707</v>
      </c>
      <c r="E50">
        <v>5.8048327742859929</v>
      </c>
      <c r="F50">
        <f t="shared" si="0"/>
        <v>1.7523412909590415</v>
      </c>
      <c r="G50">
        <f t="shared" si="1"/>
        <v>2.4093220569873992</v>
      </c>
    </row>
    <row r="51" spans="1:7" ht="14.4" x14ac:dyDescent="0.3">
      <c r="A51" s="7" t="s">
        <v>2</v>
      </c>
      <c r="B51">
        <v>10</v>
      </c>
      <c r="C51">
        <v>0.97</v>
      </c>
      <c r="D51">
        <v>3.0838999999999999</v>
      </c>
      <c r="E51">
        <v>1.7604332176789133</v>
      </c>
      <c r="F51">
        <f t="shared" si="0"/>
        <v>1.7561036415883886</v>
      </c>
      <c r="G51">
        <f t="shared" si="1"/>
        <v>1.3268131811520842</v>
      </c>
    </row>
    <row r="52" spans="1:7" ht="14.4" x14ac:dyDescent="0.3">
      <c r="A52" s="7" t="s">
        <v>2</v>
      </c>
      <c r="B52">
        <v>10</v>
      </c>
      <c r="C52">
        <v>0.97</v>
      </c>
      <c r="D52">
        <v>2.6566000000000001</v>
      </c>
      <c r="E52">
        <v>6.1003538357298801</v>
      </c>
      <c r="F52">
        <f t="shared" si="0"/>
        <v>1.6299079728622718</v>
      </c>
      <c r="G52">
        <f t="shared" si="1"/>
        <v>2.4698894379566627</v>
      </c>
    </row>
    <row r="53" spans="1:7" ht="14.4" x14ac:dyDescent="0.3">
      <c r="A53" s="7" t="s">
        <v>2</v>
      </c>
      <c r="B53">
        <v>10</v>
      </c>
      <c r="C53">
        <v>0.97</v>
      </c>
      <c r="D53">
        <v>2.9843000000000002</v>
      </c>
      <c r="E53">
        <v>2.0175250477498912</v>
      </c>
      <c r="F53">
        <f t="shared" si="0"/>
        <v>1.7275126627611157</v>
      </c>
      <c r="G53">
        <f t="shared" si="1"/>
        <v>1.4203960883323676</v>
      </c>
    </row>
    <row r="54" spans="1:7" ht="14.4" x14ac:dyDescent="0.3">
      <c r="A54" s="7" t="s">
        <v>2</v>
      </c>
      <c r="B54">
        <v>10</v>
      </c>
      <c r="C54">
        <v>0.99</v>
      </c>
      <c r="D54">
        <v>4.7747999999999999</v>
      </c>
      <c r="E54">
        <v>3.1672740219485633</v>
      </c>
      <c r="F54">
        <f t="shared" si="0"/>
        <v>2.1851315749858178</v>
      </c>
      <c r="G54">
        <f t="shared" si="1"/>
        <v>1.7796836859252723</v>
      </c>
    </row>
    <row r="55" spans="1:7" ht="14.4" x14ac:dyDescent="0.3">
      <c r="A55" s="7" t="s">
        <v>2</v>
      </c>
      <c r="B55">
        <v>10</v>
      </c>
      <c r="C55">
        <v>0.99</v>
      </c>
      <c r="D55">
        <v>4.9987000000000004</v>
      </c>
      <c r="E55">
        <v>3.7971872686898593</v>
      </c>
      <c r="F55">
        <f t="shared" si="0"/>
        <v>2.2357772697654839</v>
      </c>
      <c r="G55">
        <f t="shared" si="1"/>
        <v>1.9486372850507248</v>
      </c>
    </row>
    <row r="56" spans="1:7" ht="14.4" x14ac:dyDescent="0.3">
      <c r="A56" s="7" t="s">
        <v>2</v>
      </c>
      <c r="B56">
        <v>10</v>
      </c>
      <c r="C56">
        <v>0.99</v>
      </c>
      <c r="D56">
        <v>4.8155000000000001</v>
      </c>
      <c r="E56">
        <v>3.3687467552694423</v>
      </c>
      <c r="F56">
        <f t="shared" si="0"/>
        <v>2.1944247537794501</v>
      </c>
      <c r="G56">
        <f t="shared" si="1"/>
        <v>1.8354146003749241</v>
      </c>
    </row>
    <row r="57" spans="1:7" ht="14.4" x14ac:dyDescent="0.3">
      <c r="A57" s="7" t="s">
        <v>2</v>
      </c>
      <c r="B57">
        <v>10</v>
      </c>
      <c r="C57">
        <v>0.99</v>
      </c>
      <c r="D57">
        <v>4.9644000000000004</v>
      </c>
      <c r="E57">
        <v>3.6297034888405446</v>
      </c>
      <c r="F57">
        <f t="shared" si="0"/>
        <v>2.2280933553152571</v>
      </c>
      <c r="G57">
        <f t="shared" si="1"/>
        <v>1.9051780727377021</v>
      </c>
    </row>
    <row r="58" spans="1:7" ht="14.4" x14ac:dyDescent="0.3">
      <c r="A58" s="7" t="s">
        <v>2</v>
      </c>
      <c r="B58">
        <v>10</v>
      </c>
      <c r="C58">
        <v>0.99</v>
      </c>
      <c r="D58">
        <v>4.8026</v>
      </c>
      <c r="E58">
        <v>3.4635405821846499</v>
      </c>
      <c r="F58">
        <f t="shared" si="0"/>
        <v>2.1914835157947232</v>
      </c>
      <c r="G58">
        <f t="shared" si="1"/>
        <v>1.8610589948157608</v>
      </c>
    </row>
    <row r="59" spans="1:7" ht="14.4" x14ac:dyDescent="0.3">
      <c r="A59" s="7" t="s">
        <v>2</v>
      </c>
      <c r="B59">
        <v>10</v>
      </c>
      <c r="C59">
        <v>0.99</v>
      </c>
      <c r="D59">
        <v>4.7431000000000001</v>
      </c>
      <c r="E59">
        <v>3.8747443654993567</v>
      </c>
      <c r="F59">
        <f t="shared" si="0"/>
        <v>2.1778659279211841</v>
      </c>
      <c r="G59">
        <f t="shared" si="1"/>
        <v>1.9684370362039414</v>
      </c>
    </row>
    <row r="60" spans="1:7" ht="14.4" x14ac:dyDescent="0.3">
      <c r="A60" s="7" t="s">
        <v>2</v>
      </c>
      <c r="B60">
        <v>15</v>
      </c>
      <c r="C60">
        <v>0.97</v>
      </c>
      <c r="D60">
        <v>3.8567</v>
      </c>
      <c r="E60">
        <v>2.4236264163663237</v>
      </c>
      <c r="F60">
        <f t="shared" si="0"/>
        <v>1.9638482629775651</v>
      </c>
      <c r="G60">
        <f t="shared" si="1"/>
        <v>1.5568000566438593</v>
      </c>
    </row>
    <row r="61" spans="1:7" ht="14.4" x14ac:dyDescent="0.3">
      <c r="A61" s="7" t="s">
        <v>2</v>
      </c>
      <c r="B61">
        <v>15</v>
      </c>
      <c r="C61">
        <v>0.97</v>
      </c>
      <c r="D61">
        <v>4.8800999999999997</v>
      </c>
      <c r="E61">
        <v>2.2762238478719699</v>
      </c>
      <c r="F61">
        <f t="shared" si="0"/>
        <v>2.2090948372580113</v>
      </c>
      <c r="G61">
        <f t="shared" si="1"/>
        <v>1.5087159599712499</v>
      </c>
    </row>
    <row r="62" spans="1:7" ht="14.4" x14ac:dyDescent="0.3">
      <c r="A62" s="7" t="s">
        <v>2</v>
      </c>
      <c r="B62">
        <v>15</v>
      </c>
      <c r="C62">
        <v>0.97</v>
      </c>
      <c r="D62">
        <v>4.2779999999999996</v>
      </c>
      <c r="E62">
        <v>2.4557269752220665</v>
      </c>
      <c r="F62">
        <f t="shared" si="0"/>
        <v>2.068332661831747</v>
      </c>
      <c r="G62">
        <f t="shared" si="1"/>
        <v>1.567075931543225</v>
      </c>
    </row>
    <row r="63" spans="1:7" ht="14.4" x14ac:dyDescent="0.3">
      <c r="A63" s="7" t="s">
        <v>2</v>
      </c>
      <c r="B63">
        <v>15</v>
      </c>
      <c r="C63">
        <v>0.97</v>
      </c>
      <c r="D63">
        <v>5.2038000000000002</v>
      </c>
      <c r="E63">
        <v>2.3924247665167759</v>
      </c>
      <c r="F63">
        <f t="shared" si="0"/>
        <v>2.2811839031520456</v>
      </c>
      <c r="G63">
        <f t="shared" si="1"/>
        <v>1.5467465101033122</v>
      </c>
    </row>
    <row r="64" spans="1:7" ht="14.4" x14ac:dyDescent="0.3">
      <c r="A64" s="7" t="s">
        <v>2</v>
      </c>
      <c r="B64">
        <v>15</v>
      </c>
      <c r="C64">
        <v>0.97</v>
      </c>
      <c r="D64">
        <v>4.7831000000000001</v>
      </c>
      <c r="E64">
        <v>2.4657439735736237</v>
      </c>
      <c r="F64">
        <f t="shared" si="0"/>
        <v>2.1870299494977199</v>
      </c>
      <c r="G64">
        <f t="shared" si="1"/>
        <v>1.5702687583893478</v>
      </c>
    </row>
    <row r="65" spans="1:7" ht="14.4" x14ac:dyDescent="0.3">
      <c r="A65" s="7" t="s">
        <v>2</v>
      </c>
      <c r="B65">
        <v>15</v>
      </c>
      <c r="C65">
        <v>0.97</v>
      </c>
      <c r="D65">
        <v>4.4010999999999996</v>
      </c>
      <c r="E65">
        <v>1.9741201063370524</v>
      </c>
      <c r="F65">
        <f t="shared" si="0"/>
        <v>2.0978798821667555</v>
      </c>
      <c r="G65">
        <f t="shared" si="1"/>
        <v>1.4050338452638971</v>
      </c>
    </row>
    <row r="66" spans="1:7" ht="14.4" x14ac:dyDescent="0.3">
      <c r="A66" s="7" t="s">
        <v>2</v>
      </c>
      <c r="B66">
        <v>15</v>
      </c>
      <c r="C66">
        <v>0.99</v>
      </c>
      <c r="D66">
        <v>7.1117999999999997</v>
      </c>
      <c r="E66">
        <v>1.2180741865631768</v>
      </c>
      <c r="F66">
        <f t="shared" si="0"/>
        <v>2.6667958302052295</v>
      </c>
      <c r="G66">
        <f t="shared" si="1"/>
        <v>1.1036639826338344</v>
      </c>
    </row>
    <row r="67" spans="1:7" ht="14.4" x14ac:dyDescent="0.3">
      <c r="A67" s="7" t="s">
        <v>2</v>
      </c>
      <c r="B67">
        <v>15</v>
      </c>
      <c r="C67">
        <v>0.99</v>
      </c>
      <c r="D67">
        <v>7.0777999999999999</v>
      </c>
      <c r="E67">
        <v>1.3046992003164826</v>
      </c>
      <c r="F67">
        <f t="shared" ref="F67:F71" si="2">SQRT(D67)</f>
        <v>2.6604135016948023</v>
      </c>
      <c r="G67">
        <f t="shared" ref="G67:G71" si="3">SQRT(E67)</f>
        <v>1.1422343018472534</v>
      </c>
    </row>
    <row r="68" spans="1:7" ht="14.4" x14ac:dyDescent="0.3">
      <c r="A68" s="7" t="s">
        <v>2</v>
      </c>
      <c r="B68">
        <v>15</v>
      </c>
      <c r="C68">
        <v>0.99</v>
      </c>
      <c r="D68">
        <v>7.1037999999999997</v>
      </c>
      <c r="E68">
        <v>1.1674596694726767</v>
      </c>
      <c r="F68">
        <f t="shared" si="2"/>
        <v>2.6652954808050833</v>
      </c>
      <c r="G68">
        <f t="shared" si="3"/>
        <v>1.0804904763451997</v>
      </c>
    </row>
    <row r="69" spans="1:7" ht="14.4" x14ac:dyDescent="0.3">
      <c r="A69" s="7" t="s">
        <v>2</v>
      </c>
      <c r="B69">
        <v>15</v>
      </c>
      <c r="C69">
        <v>0.99</v>
      </c>
      <c r="D69">
        <v>7.1661999999999999</v>
      </c>
      <c r="E69">
        <v>0.88752755993413524</v>
      </c>
      <c r="F69">
        <f t="shared" si="2"/>
        <v>2.6769759057563443</v>
      </c>
      <c r="G69">
        <f t="shared" si="3"/>
        <v>0.94208681125156146</v>
      </c>
    </row>
    <row r="70" spans="1:7" ht="14.4" x14ac:dyDescent="0.3">
      <c r="A70" s="7" t="s">
        <v>2</v>
      </c>
      <c r="B70">
        <v>15</v>
      </c>
      <c r="C70">
        <v>0.99</v>
      </c>
      <c r="D70">
        <v>6.9938000000000002</v>
      </c>
      <c r="E70">
        <v>0.99403757613886579</v>
      </c>
      <c r="F70">
        <f t="shared" si="2"/>
        <v>2.6445793616376876</v>
      </c>
      <c r="G70">
        <f t="shared" si="3"/>
        <v>0.99701433095962355</v>
      </c>
    </row>
    <row r="71" spans="1:7" ht="14.4" x14ac:dyDescent="0.3">
      <c r="A71" s="7" t="s">
        <v>2</v>
      </c>
      <c r="B71">
        <v>15</v>
      </c>
      <c r="C71">
        <v>0.99</v>
      </c>
      <c r="D71">
        <v>6.9771999999999998</v>
      </c>
      <c r="E71">
        <v>0.81837986584876454</v>
      </c>
      <c r="F71">
        <f t="shared" si="2"/>
        <v>2.6414390017564289</v>
      </c>
      <c r="G71">
        <f t="shared" si="3"/>
        <v>0.90464350207624022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C1:T63"/>
  <sheetViews>
    <sheetView topLeftCell="I29" zoomScale="80" zoomScaleNormal="80" workbookViewId="0">
      <selection activeCell="T38" sqref="T38"/>
    </sheetView>
  </sheetViews>
  <sheetFormatPr defaultRowHeight="13.8" x14ac:dyDescent="0.25"/>
  <cols>
    <col min="3" max="3" width="19" bestFit="1" customWidth="1"/>
    <col min="4" max="4" width="4.19921875" bestFit="1" customWidth="1"/>
    <col min="5" max="5" width="14.59765625" bestFit="1" customWidth="1"/>
    <col min="6" max="6" width="13.19921875" bestFit="1" customWidth="1"/>
    <col min="10" max="10" width="19" bestFit="1" customWidth="1"/>
    <col min="12" max="12" width="19.69921875" bestFit="1" customWidth="1"/>
    <col min="13" max="13" width="10.19921875" bestFit="1" customWidth="1"/>
    <col min="20" max="20" width="100.19921875" bestFit="1" customWidth="1"/>
  </cols>
  <sheetData>
    <row r="1" spans="3:20" ht="27.6" x14ac:dyDescent="0.25">
      <c r="F1" s="20" t="s">
        <v>41</v>
      </c>
      <c r="G1" t="s">
        <v>5</v>
      </c>
      <c r="H1" t="s">
        <v>42</v>
      </c>
      <c r="I1" t="s">
        <v>5</v>
      </c>
    </row>
    <row r="2" spans="3:20" x14ac:dyDescent="0.25">
      <c r="F2" s="40" t="s">
        <v>12</v>
      </c>
      <c r="G2" s="40"/>
      <c r="H2" s="40" t="s">
        <v>11</v>
      </c>
      <c r="I2" s="40"/>
    </row>
    <row r="3" spans="3:20" x14ac:dyDescent="0.25">
      <c r="C3" s="43" t="s">
        <v>1</v>
      </c>
      <c r="D3" s="40" t="s">
        <v>38</v>
      </c>
      <c r="E3">
        <v>0.97</v>
      </c>
      <c r="F3">
        <v>1.57952</v>
      </c>
      <c r="G3">
        <v>3.3763322111427387E-2</v>
      </c>
      <c r="H3">
        <v>13.14549112735801</v>
      </c>
      <c r="I3">
        <v>1.9161028247141676</v>
      </c>
    </row>
    <row r="4" spans="3:20" x14ac:dyDescent="0.25">
      <c r="C4" s="43"/>
      <c r="D4" s="40"/>
      <c r="E4">
        <v>0.99</v>
      </c>
      <c r="F4">
        <v>2.3852000000000002</v>
      </c>
      <c r="G4">
        <v>2.0881916685123625E-2</v>
      </c>
      <c r="H4">
        <v>10.636656226731676</v>
      </c>
      <c r="I4">
        <v>0.297647832523107</v>
      </c>
    </row>
    <row r="5" spans="3:20" x14ac:dyDescent="0.25">
      <c r="C5" s="43"/>
      <c r="D5" s="40" t="s">
        <v>39</v>
      </c>
      <c r="E5">
        <v>0.97</v>
      </c>
      <c r="F5">
        <v>3.02332</v>
      </c>
      <c r="G5">
        <v>3.5475753973664891E-2</v>
      </c>
      <c r="H5">
        <v>7.5273728566541038</v>
      </c>
      <c r="I5">
        <v>0.34357587230220227</v>
      </c>
    </row>
    <row r="6" spans="3:20" x14ac:dyDescent="0.25">
      <c r="C6" s="43"/>
      <c r="D6" s="40"/>
      <c r="E6">
        <v>0.99</v>
      </c>
      <c r="F6">
        <v>5.0796999999999999</v>
      </c>
      <c r="G6">
        <v>3.9172935668505784E-2</v>
      </c>
      <c r="H6">
        <v>4.259213383576899</v>
      </c>
      <c r="I6">
        <v>8.8086030560699649E-2</v>
      </c>
    </row>
    <row r="7" spans="3:20" x14ac:dyDescent="0.25">
      <c r="C7" s="43"/>
      <c r="D7" s="40" t="s">
        <v>40</v>
      </c>
      <c r="E7">
        <v>0.97</v>
      </c>
      <c r="F7">
        <v>5.7279000000000009</v>
      </c>
      <c r="G7">
        <v>4.8113349960737961E-2</v>
      </c>
      <c r="H7">
        <v>3.5840746269165895</v>
      </c>
      <c r="I7">
        <v>0.2513647546548719</v>
      </c>
    </row>
    <row r="8" spans="3:20" x14ac:dyDescent="0.25">
      <c r="C8" s="43"/>
      <c r="D8" s="40"/>
      <c r="E8">
        <v>0.99</v>
      </c>
      <c r="F8">
        <v>9.2111833333333326</v>
      </c>
      <c r="G8">
        <v>4.1040910596532774E-2</v>
      </c>
      <c r="H8">
        <v>1.7564326136194472</v>
      </c>
      <c r="I8">
        <v>3.3886556272669545E-2</v>
      </c>
    </row>
    <row r="9" spans="3:20" ht="13.8" customHeight="1" x14ac:dyDescent="0.25">
      <c r="C9" s="24"/>
      <c r="T9" s="1"/>
    </row>
    <row r="10" spans="3:20" ht="13.8" customHeight="1" x14ac:dyDescent="0.25">
      <c r="C10" s="24"/>
      <c r="E10" s="1" t="s">
        <v>59</v>
      </c>
      <c r="S10" s="1">
        <v>0.97</v>
      </c>
      <c r="T10" t="s">
        <v>80</v>
      </c>
    </row>
    <row r="11" spans="3:20" ht="13.8" customHeight="1" x14ac:dyDescent="0.25">
      <c r="C11" s="24"/>
      <c r="E11">
        <v>0.97</v>
      </c>
      <c r="G11">
        <v>0.99</v>
      </c>
      <c r="S11" s="1">
        <v>0.99</v>
      </c>
      <c r="T11" t="s">
        <v>80</v>
      </c>
    </row>
    <row r="12" spans="3:20" ht="13.8" customHeight="1" x14ac:dyDescent="0.25">
      <c r="D12" s="25" t="s">
        <v>57</v>
      </c>
      <c r="E12">
        <v>1.57952</v>
      </c>
      <c r="F12">
        <v>3.3763322111427387E-2</v>
      </c>
      <c r="G12">
        <v>2.3852000000000002</v>
      </c>
      <c r="H12">
        <v>2.0881916685123625E-2</v>
      </c>
    </row>
    <row r="13" spans="3:20" ht="13.8" customHeight="1" x14ac:dyDescent="0.25">
      <c r="D13" t="s">
        <v>58</v>
      </c>
      <c r="E13">
        <v>3.02332</v>
      </c>
      <c r="F13">
        <v>3.5475753973664891E-2</v>
      </c>
      <c r="G13">
        <v>5.0796999999999999</v>
      </c>
      <c r="H13">
        <v>3.9172935668505784E-2</v>
      </c>
    </row>
    <row r="14" spans="3:20" ht="13.8" customHeight="1" x14ac:dyDescent="0.25">
      <c r="D14" t="s">
        <v>40</v>
      </c>
      <c r="E14">
        <v>5.7279000000000009</v>
      </c>
      <c r="F14">
        <v>4.8113349960737961E-2</v>
      </c>
      <c r="G14">
        <v>9.2111833333333326</v>
      </c>
      <c r="H14">
        <v>4.1040910596532774E-2</v>
      </c>
    </row>
    <row r="17" spans="4:20" x14ac:dyDescent="0.25">
      <c r="E17" s="1" t="s">
        <v>60</v>
      </c>
    </row>
    <row r="18" spans="4:20" x14ac:dyDescent="0.25">
      <c r="E18">
        <v>0.97</v>
      </c>
      <c r="G18">
        <v>0.99</v>
      </c>
    </row>
    <row r="19" spans="4:20" x14ac:dyDescent="0.25">
      <c r="D19" s="25" t="s">
        <v>57</v>
      </c>
      <c r="E19">
        <v>13.14549112735801</v>
      </c>
      <c r="F19">
        <v>1.9161028247141676</v>
      </c>
      <c r="G19">
        <v>10.636656226731676</v>
      </c>
      <c r="H19">
        <v>0.297647832523107</v>
      </c>
    </row>
    <row r="20" spans="4:20" x14ac:dyDescent="0.25">
      <c r="D20" t="s">
        <v>58</v>
      </c>
      <c r="E20">
        <v>7.5273728566541038</v>
      </c>
      <c r="F20">
        <v>0.34357587230220227</v>
      </c>
      <c r="G20">
        <v>4.259213383576899</v>
      </c>
      <c r="H20">
        <v>8.8086030560699649E-2</v>
      </c>
    </row>
    <row r="21" spans="4:20" x14ac:dyDescent="0.25">
      <c r="D21" t="s">
        <v>40</v>
      </c>
      <c r="E21">
        <v>3.5840746269165895</v>
      </c>
      <c r="F21">
        <v>0.2513647546548719</v>
      </c>
      <c r="G21">
        <v>1.7564326136194472</v>
      </c>
      <c r="H21">
        <v>3.3886556272669545E-2</v>
      </c>
    </row>
    <row r="27" spans="4:20" x14ac:dyDescent="0.25">
      <c r="S27" s="1">
        <v>0.97</v>
      </c>
      <c r="T27" t="s">
        <v>81</v>
      </c>
    </row>
    <row r="28" spans="4:20" x14ac:dyDescent="0.25">
      <c r="S28" s="1">
        <v>0.99</v>
      </c>
      <c r="T28" t="s">
        <v>82</v>
      </c>
    </row>
    <row r="45" spans="5:10" x14ac:dyDescent="0.25">
      <c r="E45" s="1" t="s">
        <v>61</v>
      </c>
      <c r="F45" s="26" t="s">
        <v>62</v>
      </c>
    </row>
    <row r="46" spans="5:10" x14ac:dyDescent="0.25">
      <c r="E46" s="28" t="s">
        <v>63</v>
      </c>
      <c r="F46" s="29" t="s">
        <v>69</v>
      </c>
      <c r="G46" s="29"/>
      <c r="H46" s="29"/>
      <c r="I46" s="29"/>
    </row>
    <row r="47" spans="5:10" x14ac:dyDescent="0.25">
      <c r="E47" s="44" t="s">
        <v>71</v>
      </c>
      <c r="F47" s="9"/>
      <c r="G47" s="9"/>
      <c r="H47" s="9" t="s">
        <v>67</v>
      </c>
      <c r="I47" s="27" t="s">
        <v>66</v>
      </c>
      <c r="J47" s="30"/>
    </row>
    <row r="48" spans="5:10" x14ac:dyDescent="0.25">
      <c r="E48" s="45"/>
      <c r="F48" s="47" t="s">
        <v>64</v>
      </c>
      <c r="G48" s="9">
        <v>0.97</v>
      </c>
      <c r="H48" s="9"/>
      <c r="I48" s="9" t="s">
        <v>68</v>
      </c>
    </row>
    <row r="49" spans="5:9" x14ac:dyDescent="0.25">
      <c r="E49" s="45"/>
      <c r="F49" s="48"/>
      <c r="G49" s="9">
        <v>0.99</v>
      </c>
      <c r="H49" s="9"/>
      <c r="I49" s="9" t="s">
        <v>68</v>
      </c>
    </row>
    <row r="50" spans="5:9" x14ac:dyDescent="0.25">
      <c r="E50" s="45"/>
      <c r="F50" s="47" t="s">
        <v>65</v>
      </c>
      <c r="G50" s="9">
        <v>0.97</v>
      </c>
      <c r="H50" s="9" t="s">
        <v>68</v>
      </c>
      <c r="I50" s="9" t="s">
        <v>68</v>
      </c>
    </row>
    <row r="51" spans="5:9" x14ac:dyDescent="0.25">
      <c r="E51" s="46"/>
      <c r="F51" s="48"/>
      <c r="G51" s="9">
        <v>0.99</v>
      </c>
      <c r="H51" s="9"/>
      <c r="I51" s="9" t="s">
        <v>68</v>
      </c>
    </row>
    <row r="54" spans="5:9" x14ac:dyDescent="0.25">
      <c r="E54" s="44" t="s">
        <v>70</v>
      </c>
      <c r="F54" s="49" t="s">
        <v>64</v>
      </c>
      <c r="G54" s="9" t="s">
        <v>38</v>
      </c>
      <c r="H54" s="9"/>
      <c r="I54" s="9" t="s">
        <v>68</v>
      </c>
    </row>
    <row r="55" spans="5:9" x14ac:dyDescent="0.25">
      <c r="E55" s="45"/>
      <c r="F55" s="49"/>
      <c r="G55" s="9" t="s">
        <v>39</v>
      </c>
      <c r="H55" s="9"/>
      <c r="I55" s="9" t="s">
        <v>68</v>
      </c>
    </row>
    <row r="56" spans="5:9" x14ac:dyDescent="0.25">
      <c r="E56" s="45"/>
      <c r="F56" s="49"/>
      <c r="G56" s="9" t="s">
        <v>40</v>
      </c>
      <c r="H56" s="9"/>
      <c r="I56" s="9" t="s">
        <v>68</v>
      </c>
    </row>
    <row r="57" spans="5:9" x14ac:dyDescent="0.25">
      <c r="E57" s="45"/>
      <c r="F57" s="49" t="s">
        <v>65</v>
      </c>
      <c r="G57" s="9" t="s">
        <v>38</v>
      </c>
      <c r="H57" s="9" t="s">
        <v>68</v>
      </c>
      <c r="I57" s="9" t="s">
        <v>68</v>
      </c>
    </row>
    <row r="58" spans="5:9" x14ac:dyDescent="0.25">
      <c r="E58" s="45"/>
      <c r="F58" s="49"/>
      <c r="G58" s="9" t="s">
        <v>39</v>
      </c>
      <c r="H58" s="9"/>
      <c r="I58" s="9" t="s">
        <v>68</v>
      </c>
    </row>
    <row r="59" spans="5:9" x14ac:dyDescent="0.25">
      <c r="E59" s="46"/>
      <c r="F59" s="49"/>
      <c r="G59" s="9" t="s">
        <v>40</v>
      </c>
      <c r="H59" s="9" t="s">
        <v>68</v>
      </c>
      <c r="I59" s="9"/>
    </row>
    <row r="61" spans="5:9" x14ac:dyDescent="0.25">
      <c r="F61" t="s">
        <v>75</v>
      </c>
    </row>
    <row r="62" spans="5:9" ht="27.6" x14ac:dyDescent="0.25">
      <c r="E62" s="20" t="s">
        <v>73</v>
      </c>
      <c r="F62" t="s">
        <v>74</v>
      </c>
      <c r="G62" t="s">
        <v>76</v>
      </c>
      <c r="H62" t="s">
        <v>83</v>
      </c>
    </row>
    <row r="63" spans="5:9" ht="69" x14ac:dyDescent="0.25">
      <c r="E63" t="s">
        <v>77</v>
      </c>
      <c r="F63" s="20" t="s">
        <v>78</v>
      </c>
      <c r="G63" s="20" t="s">
        <v>79</v>
      </c>
    </row>
  </sheetData>
  <mergeCells count="12">
    <mergeCell ref="E47:E51"/>
    <mergeCell ref="F48:F49"/>
    <mergeCell ref="F50:F51"/>
    <mergeCell ref="E54:E59"/>
    <mergeCell ref="F54:F56"/>
    <mergeCell ref="F57:F59"/>
    <mergeCell ref="F2:G2"/>
    <mergeCell ref="H2:I2"/>
    <mergeCell ref="C3:C8"/>
    <mergeCell ref="D3:D4"/>
    <mergeCell ref="D5:D6"/>
    <mergeCell ref="D7:D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4" ma:contentTypeDescription="Create a new document." ma:contentTypeScope="" ma:versionID="504fb9bcfb3e73fbacb15a3090203910">
  <xsd:schema xmlns:xsd="http://www.w3.org/2001/XMLSchema" xmlns:xs="http://www.w3.org/2001/XMLSchema" xmlns:p="http://schemas.microsoft.com/office/2006/metadata/properties" xmlns:ns2="9e7e862f-fd2b-4f26-8c55-eda3534c9efa" targetNamespace="http://schemas.microsoft.com/office/2006/metadata/properties" ma:root="true" ma:fieldsID="fa5da6f54008c6aa6c1e5b00d71fef55" ns2:_="">
    <xsd:import namespace="9e7e862f-fd2b-4f26-8c55-eda3534c9e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ED35CF-672E-4BBD-8F19-37C82D5B1261}"/>
</file>

<file path=customXml/itemProps2.xml><?xml version="1.0" encoding="utf-8"?>
<ds:datastoreItem xmlns:ds="http://schemas.openxmlformats.org/officeDocument/2006/customXml" ds:itemID="{4E7AE80B-6AEE-4592-B5CB-FC3AD4D32F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F. sambucinum 5C</vt:lpstr>
      <vt:lpstr>F. sambucinum 10C</vt:lpstr>
      <vt:lpstr>F. sambucinum 15C</vt:lpstr>
      <vt:lpstr>F. oxysporum 5C</vt:lpstr>
      <vt:lpstr>F. oxysporum 10C</vt:lpstr>
      <vt:lpstr>F. oxysporum 15C</vt:lpstr>
      <vt:lpstr>Graphs</vt:lpstr>
      <vt:lpstr>JMP stats</vt:lpstr>
      <vt:lpstr>Fs. sambucinum</vt:lpstr>
      <vt:lpstr>Fs. sambucinum (2)</vt:lpstr>
      <vt:lpstr>Fs. oxysporum</vt:lpstr>
      <vt:lpstr>Fs. oxysporum (2)</vt:lpstr>
      <vt:lpstr>Between Fusarium spp.</vt:lpstr>
      <vt:lpstr>Sheet1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Pozo, Maria</dc:creator>
  <cp:lastModifiedBy>Maria Gutiérrez</cp:lastModifiedBy>
  <dcterms:created xsi:type="dcterms:W3CDTF">2019-06-10T12:07:36Z</dcterms:created>
  <dcterms:modified xsi:type="dcterms:W3CDTF">2023-11-05T18:59:29Z</dcterms:modified>
</cp:coreProperties>
</file>